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t_jbravo\Desktop\"/>
    </mc:Choice>
  </mc:AlternateContent>
  <bookViews>
    <workbookView xWindow="0" yWindow="0" windowWidth="20490" windowHeight="6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J64" i="1"/>
  <c r="P60" i="1"/>
  <c r="K60" i="1"/>
  <c r="J60" i="1"/>
  <c r="O59" i="1"/>
  <c r="M59" i="1" s="1"/>
  <c r="I59" i="1"/>
  <c r="O58" i="1"/>
  <c r="M58" i="1"/>
  <c r="I58" i="1"/>
  <c r="O56" i="1"/>
  <c r="O55" i="1"/>
  <c r="O54" i="1"/>
  <c r="M54" i="1"/>
  <c r="O53" i="1"/>
  <c r="M53" i="1"/>
  <c r="L52" i="1"/>
  <c r="O51" i="1"/>
  <c r="M51" i="1"/>
  <c r="O50" i="1"/>
  <c r="M50" i="1"/>
  <c r="O49" i="1"/>
  <c r="L49" i="1"/>
  <c r="Q48" i="1"/>
  <c r="O48" i="1"/>
  <c r="M48" i="1"/>
  <c r="Q47" i="1"/>
  <c r="O47" i="1"/>
  <c r="M47" i="1"/>
  <c r="Q46" i="1"/>
  <c r="O46" i="1"/>
  <c r="M46" i="1"/>
  <c r="L45" i="1"/>
  <c r="O44" i="1"/>
  <c r="M44" i="1"/>
  <c r="O43" i="1"/>
  <c r="M43" i="1"/>
  <c r="Q42" i="1"/>
  <c r="O42" i="1"/>
  <c r="M42" i="1"/>
  <c r="L41" i="1"/>
  <c r="O40" i="1"/>
  <c r="Q38" i="1"/>
  <c r="O38" i="1"/>
  <c r="M38" i="1"/>
  <c r="L37" i="1"/>
  <c r="O36" i="1"/>
  <c r="M36" i="1"/>
  <c r="L35" i="1"/>
  <c r="Q34" i="1"/>
  <c r="O34" i="1"/>
  <c r="M34" i="1"/>
  <c r="Q33" i="1"/>
  <c r="O33" i="1"/>
  <c r="M33" i="1"/>
  <c r="L32" i="1"/>
  <c r="O31" i="1"/>
  <c r="L31" i="1"/>
  <c r="L30" i="1"/>
  <c r="O29" i="1"/>
  <c r="O28" i="1"/>
  <c r="M28" i="1"/>
  <c r="O27" i="1"/>
  <c r="L27" i="1"/>
  <c r="O26" i="1"/>
  <c r="L26" i="1"/>
  <c r="Q25" i="1"/>
  <c r="O25" i="1"/>
  <c r="M25" i="1"/>
  <c r="Q24" i="1"/>
  <c r="O24" i="1"/>
  <c r="M24" i="1"/>
  <c r="O23" i="1"/>
  <c r="L23" i="1"/>
  <c r="I23" i="1"/>
  <c r="L22" i="1"/>
  <c r="Q21" i="1"/>
  <c r="Q60" i="1" s="1"/>
  <c r="O21" i="1"/>
  <c r="M21" i="1"/>
  <c r="O20" i="1"/>
  <c r="M20" i="1"/>
  <c r="O19" i="1"/>
  <c r="M19" i="1"/>
  <c r="I18" i="1"/>
  <c r="O17" i="1"/>
  <c r="M17" i="1"/>
  <c r="I17" i="1"/>
  <c r="O16" i="1"/>
  <c r="M16" i="1"/>
  <c r="L15" i="1"/>
  <c r="O14" i="1"/>
  <c r="M14" i="1"/>
  <c r="I14" i="1"/>
  <c r="I60" i="1" s="1"/>
  <c r="Q13" i="1"/>
  <c r="O13" i="1"/>
  <c r="M13" i="1"/>
  <c r="L12" i="1"/>
  <c r="L60" i="1" s="1"/>
  <c r="J66" i="1" s="1"/>
  <c r="I12" i="1"/>
  <c r="O11" i="1"/>
  <c r="M11" i="1"/>
  <c r="M7" i="1"/>
  <c r="Q6" i="1"/>
  <c r="O5" i="1"/>
  <c r="O60" i="1" s="1"/>
  <c r="M5" i="1"/>
  <c r="M60" i="1" s="1"/>
</calcChain>
</file>

<file path=xl/sharedStrings.xml><?xml version="1.0" encoding="utf-8"?>
<sst xmlns="http://schemas.openxmlformats.org/spreadsheetml/2006/main" count="363" uniqueCount="124">
  <si>
    <t>N°</t>
  </si>
  <si>
    <t>1. Ley de Presupuesto: Subtítulo / Item / Asignación</t>
  </si>
  <si>
    <t>24.01.134</t>
  </si>
  <si>
    <t>2. Nombre Servicio o Programa</t>
  </si>
  <si>
    <t>Programa de Desarrollo Empresarial en los Territorios</t>
  </si>
  <si>
    <t>3. Observaciones</t>
  </si>
  <si>
    <t>Operadores formalizados al 31 de diciembre del 2017</t>
  </si>
  <si>
    <t>Nombre completo</t>
  </si>
  <si>
    <t>Región</t>
  </si>
  <si>
    <t xml:space="preserve">Centro </t>
  </si>
  <si>
    <t>Tipo de acto</t>
  </si>
  <si>
    <t>Denominación de acto</t>
  </si>
  <si>
    <t>Fecha de acto</t>
  </si>
  <si>
    <t>Número de acto</t>
  </si>
  <si>
    <t xml:space="preserve">Presupuesto Sercotec Primer Acuerdo de Desempeño </t>
  </si>
  <si>
    <t>Monto con cargo  Ley de Presupuesto año 2015</t>
  </si>
  <si>
    <t>Monto con cargo Ley de Presupuesto año 2016</t>
  </si>
  <si>
    <t>Monto con cargo Ley de Presupuesto año 2017</t>
  </si>
  <si>
    <t>Presupuesto Sercotec Segundo Acuerdo de Desempeño</t>
  </si>
  <si>
    <t>Presupuesto Sercotec Tercer Acuerdo de Desempeño</t>
  </si>
  <si>
    <t>Universidad de Tarapacá</t>
  </si>
  <si>
    <t>01. XI-Arica y Parinacota</t>
  </si>
  <si>
    <t>Arica Centro</t>
  </si>
  <si>
    <t xml:space="preserve">Selección de Operador de Centro </t>
  </si>
  <si>
    <t xml:space="preserve">Selección </t>
  </si>
  <si>
    <t>No aplica</t>
  </si>
  <si>
    <t>Fundación para el Desarrollo Universidad de Tarapacá</t>
  </si>
  <si>
    <t>02. I-Tarapacá</t>
  </si>
  <si>
    <t>Iquique</t>
  </si>
  <si>
    <t>Universidad Arturo Prat</t>
  </si>
  <si>
    <t>Pozo Almonte</t>
  </si>
  <si>
    <t>Corporación para el Desarrollo Productivo de la II Región (Cierre Operación)</t>
  </si>
  <si>
    <t>03. II-Antofagasta</t>
  </si>
  <si>
    <t>Antofagasta</t>
  </si>
  <si>
    <t>Corporación de Desarrollo Social del Sector Rural (Convenio Transitorio)</t>
  </si>
  <si>
    <t>Resolución</t>
  </si>
  <si>
    <t xml:space="preserve">Universidad Tecnológica de Chile INACAP </t>
  </si>
  <si>
    <t>Corporación INCUBA2</t>
  </si>
  <si>
    <t>Calama</t>
  </si>
  <si>
    <t>Corporación para la Competitividad e Inovación de la Región de Atacama</t>
  </si>
  <si>
    <t>04. III-Atacama</t>
  </si>
  <si>
    <t>Copiapo</t>
  </si>
  <si>
    <t>Corporación de Desarrollo Social del Sector Rural</t>
  </si>
  <si>
    <t>Vallenar</t>
  </si>
  <si>
    <t>05. IV-Coquimbo</t>
  </si>
  <si>
    <t>Illapel</t>
  </si>
  <si>
    <t>La Serena</t>
  </si>
  <si>
    <t>Ovalle</t>
  </si>
  <si>
    <t>Pontificia Universidad Católica de Valparaíso</t>
  </si>
  <si>
    <t>06. V-Valparaíso</t>
  </si>
  <si>
    <t>Aconcagua</t>
  </si>
  <si>
    <t>Quillota</t>
  </si>
  <si>
    <t>Universidad de Valparaíso</t>
  </si>
  <si>
    <t>San Antonio</t>
  </si>
  <si>
    <t>Cámara Regional de Comercio y la Producción de Valparaíso A.G.</t>
  </si>
  <si>
    <t>Valparaiso</t>
  </si>
  <si>
    <t>Corporación Santiago Innova</t>
  </si>
  <si>
    <t>07. RM-Metropolitana</t>
  </si>
  <si>
    <t>Colina</t>
  </si>
  <si>
    <t>Corporación Construyendo mis Sueños</t>
  </si>
  <si>
    <t>Estación Central</t>
  </si>
  <si>
    <t>Universidad Central</t>
  </si>
  <si>
    <t>Independencia</t>
  </si>
  <si>
    <t>FUNDES Chile S.A.</t>
  </si>
  <si>
    <t>La Florida</t>
  </si>
  <si>
    <t>Corporación Construyendo Mis Sueños</t>
  </si>
  <si>
    <t>Las Condes</t>
  </si>
  <si>
    <t>Maipú</t>
  </si>
  <si>
    <t>Melipilla</t>
  </si>
  <si>
    <t>Fundes Chile S.P.A.</t>
  </si>
  <si>
    <t>Ñuñoa</t>
  </si>
  <si>
    <t>Centro De Servicios Universidad Central de Chile S.A.</t>
  </si>
  <si>
    <t>Pudahuel</t>
  </si>
  <si>
    <t>Puente Alto</t>
  </si>
  <si>
    <t>Universidad Tecnológica de Chile INACAP</t>
  </si>
  <si>
    <t>Quilicura</t>
  </si>
  <si>
    <t>San Bernardo</t>
  </si>
  <si>
    <t>Santiago</t>
  </si>
  <si>
    <t>Talagante</t>
  </si>
  <si>
    <t>Asesorías e Ingeniería Corporativa Limitada INGEPLUS</t>
  </si>
  <si>
    <t>08. VI-O’Higgins</t>
  </si>
  <si>
    <t>Rancagua</t>
  </si>
  <si>
    <t>San Fernando</t>
  </si>
  <si>
    <t>Consultorías, Asesorías y Eventos Francisco Javier Arenas Hernandez EIRL</t>
  </si>
  <si>
    <t>Santa Cruz</t>
  </si>
  <si>
    <t>Universidad Católica del Maule</t>
  </si>
  <si>
    <t>09. VII-Maule</t>
  </si>
  <si>
    <t>Cauquenes</t>
  </si>
  <si>
    <t>Recursos FNDR</t>
  </si>
  <si>
    <t>Curico</t>
  </si>
  <si>
    <t>Universidad Santo Tomás</t>
  </si>
  <si>
    <t>Linares</t>
  </si>
  <si>
    <t>Talca</t>
  </si>
  <si>
    <t>Corparauco</t>
  </si>
  <si>
    <t>10. VIII-Biobio</t>
  </si>
  <si>
    <t>Cañete</t>
  </si>
  <si>
    <t>Chillán</t>
  </si>
  <si>
    <t>Fundación Technoserve Chile</t>
  </si>
  <si>
    <t>Concepción</t>
  </si>
  <si>
    <t>Universiddad de Concepción</t>
  </si>
  <si>
    <t>Los Angeles</t>
  </si>
  <si>
    <t>11. IX-Araucanía</t>
  </si>
  <si>
    <t>Angol</t>
  </si>
  <si>
    <t>Universidad de la Frontera</t>
  </si>
  <si>
    <t>Temuco</t>
  </si>
  <si>
    <t>Villarrica</t>
  </si>
  <si>
    <t>Universidad Austral de Chile</t>
  </si>
  <si>
    <t>12. XIV-Los Ríos</t>
  </si>
  <si>
    <t>La Unión</t>
  </si>
  <si>
    <t>Valdivia</t>
  </si>
  <si>
    <t>Fundación de Desarrollo Educacional y Tecnológico La Araucanía</t>
  </si>
  <si>
    <t>13. X-Los Lagos</t>
  </si>
  <si>
    <t>Chiloé</t>
  </si>
  <si>
    <t>Osorno</t>
  </si>
  <si>
    <t>Puerto Montt</t>
  </si>
  <si>
    <t>14. XI-Aysén</t>
  </si>
  <si>
    <t>Aysén</t>
  </si>
  <si>
    <t>Coyhaique</t>
  </si>
  <si>
    <t>15. XII-Magallanes</t>
  </si>
  <si>
    <t>Puerto Natales</t>
  </si>
  <si>
    <t>Universidad de Magallanes</t>
  </si>
  <si>
    <t>Punta Arenas</t>
  </si>
  <si>
    <t>Soporte Centros y Servicios Virtuales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</si>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</sst>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[$$-340A]\ * #,##0_-;\-[$$-340A]\ * #,##0_-;_-[$$-340A]\ * &quot;-&quot;??_-;_-@_-"/>
    <numFmt numFmtId="165" formatCode="_-* #,##0_-;\-* #,##0_-;_-* &quot;-&quot;??_-;_-@_-"/>
    <numFmt numFmtId="167" formatCode="_-* #,##0.00\ _€_-;\-* #,##0.00\ _€_-;_-* &quot;-&quot;??\ _€_-;_-@_-"/>
    <numFmt numFmtId="168" formatCode="&quot;$&quot;\ 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obCL"/>
      <family val="3"/>
    </font>
    <font>
      <sz val="7.5"/>
      <color theme="1"/>
      <name val="Arial"/>
      <family val="2"/>
    </font>
    <font>
      <b/>
      <sz val="11"/>
      <color theme="1"/>
      <name val="gobCL"/>
      <family val="3"/>
    </font>
    <font>
      <b/>
      <sz val="7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4" applyFont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15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5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4" fontId="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5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4" fontId="1" fillId="0" borderId="0" xfId="2" applyNumberFormat="1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5" fontId="3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4" fontId="2" fillId="2" borderId="18" xfId="0" applyNumberFormat="1" applyFont="1" applyFill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8" fontId="2" fillId="0" borderId="0" xfId="0" applyNumberFormat="1" applyFont="1" applyFill="1" applyAlignment="1">
      <alignment horizontal="center" vertical="center" wrapText="1"/>
    </xf>
    <xf numFmtId="168" fontId="1" fillId="0" borderId="0" xfId="0" applyNumberFormat="1" applyFont="1" applyFill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1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sqref="A1:XFD1048576"/>
    </sheetView>
  </sheetViews>
  <sheetFormatPr baseColWidth="10" defaultRowHeight="15"/>
  <cols>
    <col min="1" max="1" width="4.42578125" style="4" bestFit="1" customWidth="1"/>
    <col min="2" max="2" width="78.5703125" style="4" customWidth="1"/>
    <col min="3" max="3" width="25" style="4" customWidth="1"/>
    <col min="4" max="4" width="22.42578125" style="4" customWidth="1"/>
    <col min="5" max="5" width="34.140625" style="4" customWidth="1"/>
    <col min="6" max="6" width="25" style="4" customWidth="1"/>
    <col min="7" max="7" width="19.140625" style="4" customWidth="1"/>
    <col min="8" max="8" width="16.7109375" style="4" customWidth="1"/>
    <col min="9" max="9" width="26.7109375" style="69" customWidth="1"/>
    <col min="10" max="12" width="24.85546875" style="70" customWidth="1"/>
    <col min="13" max="13" width="26.7109375" style="69" customWidth="1"/>
    <col min="14" max="15" width="24.85546875" style="70" customWidth="1"/>
    <col min="16" max="16" width="22" style="4" bestFit="1" customWidth="1"/>
    <col min="17" max="17" width="26.28515625" style="4" bestFit="1" customWidth="1"/>
    <col min="18" max="16384" width="11.42578125" style="4"/>
  </cols>
  <sheetData>
    <row r="1" spans="1:17" ht="26.25" customHeight="1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2.5" customHeight="1">
      <c r="A2" s="1"/>
      <c r="B2" s="2" t="s">
        <v>3</v>
      </c>
      <c r="C2" s="5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customHeight="1" thickBot="1">
      <c r="A3" s="1"/>
      <c r="B3" s="6" t="s">
        <v>5</v>
      </c>
      <c r="C3" s="5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01.25" customHeight="1" thickBot="1">
      <c r="A4" s="7"/>
      <c r="B4" s="8" t="s">
        <v>7</v>
      </c>
      <c r="C4" s="9" t="s">
        <v>8</v>
      </c>
      <c r="D4" s="9" t="s">
        <v>9</v>
      </c>
      <c r="E4" s="9" t="s">
        <v>10</v>
      </c>
      <c r="F4" s="10" t="s">
        <v>11</v>
      </c>
      <c r="G4" s="11" t="s">
        <v>12</v>
      </c>
      <c r="H4" s="12" t="s">
        <v>13</v>
      </c>
      <c r="I4" s="11" t="s">
        <v>14</v>
      </c>
      <c r="J4" s="9" t="s">
        <v>15</v>
      </c>
      <c r="K4" s="9" t="s">
        <v>16</v>
      </c>
      <c r="L4" s="10" t="s">
        <v>17</v>
      </c>
      <c r="M4" s="13" t="s">
        <v>18</v>
      </c>
      <c r="N4" s="9" t="s">
        <v>16</v>
      </c>
      <c r="O4" s="10" t="s">
        <v>17</v>
      </c>
      <c r="P4" s="13" t="s">
        <v>19</v>
      </c>
      <c r="Q4" s="9" t="s">
        <v>17</v>
      </c>
    </row>
    <row r="5" spans="1:17" ht="15" customHeight="1">
      <c r="A5" s="14">
        <v>1</v>
      </c>
      <c r="B5" s="15" t="s">
        <v>20</v>
      </c>
      <c r="C5" s="16" t="s">
        <v>21</v>
      </c>
      <c r="D5" s="16" t="s">
        <v>22</v>
      </c>
      <c r="E5" s="17" t="s">
        <v>23</v>
      </c>
      <c r="F5" s="17" t="s">
        <v>24</v>
      </c>
      <c r="G5" s="18">
        <v>42254</v>
      </c>
      <c r="H5" s="19" t="s">
        <v>25</v>
      </c>
      <c r="I5" s="20">
        <v>205655999</v>
      </c>
      <c r="J5" s="21">
        <v>112647800</v>
      </c>
      <c r="K5" s="21">
        <v>93008199</v>
      </c>
      <c r="L5" s="22">
        <v>0</v>
      </c>
      <c r="M5" s="20">
        <f>224389000-2341232</f>
        <v>222047768</v>
      </c>
      <c r="N5" s="21">
        <v>182995000</v>
      </c>
      <c r="O5" s="23">
        <f>41394000-2341232</f>
        <v>39052768</v>
      </c>
      <c r="P5" s="20">
        <v>230861000</v>
      </c>
      <c r="Q5" s="21">
        <v>183755000</v>
      </c>
    </row>
    <row r="6" spans="1:17" ht="15" customHeight="1">
      <c r="A6" s="14">
        <v>2</v>
      </c>
      <c r="B6" s="15" t="s">
        <v>26</v>
      </c>
      <c r="C6" s="24" t="s">
        <v>27</v>
      </c>
      <c r="D6" s="24" t="s">
        <v>28</v>
      </c>
      <c r="E6" s="24" t="s">
        <v>23</v>
      </c>
      <c r="F6" s="24" t="s">
        <v>24</v>
      </c>
      <c r="G6" s="25">
        <v>42241</v>
      </c>
      <c r="H6" s="26" t="s">
        <v>25</v>
      </c>
      <c r="I6" s="27">
        <v>291399809</v>
      </c>
      <c r="J6" s="28">
        <v>181069211</v>
      </c>
      <c r="K6" s="28">
        <v>110330598</v>
      </c>
      <c r="L6" s="28">
        <v>0</v>
      </c>
      <c r="M6" s="27">
        <v>263282575</v>
      </c>
      <c r="N6" s="28">
        <v>132147140</v>
      </c>
      <c r="O6" s="29">
        <v>131135435</v>
      </c>
      <c r="P6" s="20">
        <v>286088254.19999999</v>
      </c>
      <c r="Q6" s="21">
        <f>127494661+5495875</f>
        <v>132990536</v>
      </c>
    </row>
    <row r="7" spans="1:17" ht="15.75" customHeight="1">
      <c r="A7" s="14">
        <v>3</v>
      </c>
      <c r="B7" s="15" t="s">
        <v>29</v>
      </c>
      <c r="C7" s="30" t="s">
        <v>27</v>
      </c>
      <c r="D7" s="31" t="s">
        <v>30</v>
      </c>
      <c r="E7" s="30" t="s">
        <v>23</v>
      </c>
      <c r="F7" s="30" t="s">
        <v>24</v>
      </c>
      <c r="G7" s="32">
        <v>42347</v>
      </c>
      <c r="H7" s="33" t="s">
        <v>25</v>
      </c>
      <c r="I7" s="27">
        <v>214571817</v>
      </c>
      <c r="J7" s="28">
        <v>106622441</v>
      </c>
      <c r="K7" s="28">
        <v>96693004</v>
      </c>
      <c r="L7" s="28">
        <v>11256372</v>
      </c>
      <c r="M7" s="27">
        <f>190320677+10204334</f>
        <v>200525011</v>
      </c>
      <c r="N7" s="28">
        <v>98245996</v>
      </c>
      <c r="O7" s="34">
        <v>92074681</v>
      </c>
      <c r="P7" s="20">
        <v>216371121</v>
      </c>
      <c r="Q7" s="21">
        <v>97759601</v>
      </c>
    </row>
    <row r="8" spans="1:17" ht="15" customHeight="1">
      <c r="A8" s="14">
        <v>4</v>
      </c>
      <c r="B8" s="15" t="s">
        <v>31</v>
      </c>
      <c r="C8" s="35" t="s">
        <v>32</v>
      </c>
      <c r="D8" s="35" t="s">
        <v>33</v>
      </c>
      <c r="E8" s="24" t="s">
        <v>23</v>
      </c>
      <c r="F8" s="24" t="s">
        <v>24</v>
      </c>
      <c r="G8" s="25">
        <v>42191</v>
      </c>
      <c r="H8" s="26" t="s">
        <v>25</v>
      </c>
      <c r="I8" s="27">
        <v>322702452</v>
      </c>
      <c r="J8" s="28">
        <v>185016467</v>
      </c>
      <c r="K8" s="28">
        <v>137685985</v>
      </c>
      <c r="L8" s="28">
        <v>0</v>
      </c>
      <c r="M8" s="27">
        <v>0</v>
      </c>
      <c r="N8" s="28"/>
      <c r="O8" s="29">
        <v>0</v>
      </c>
      <c r="P8" s="20">
        <v>0</v>
      </c>
      <c r="Q8" s="21">
        <v>0</v>
      </c>
    </row>
    <row r="9" spans="1:17" ht="15" customHeight="1">
      <c r="A9" s="14">
        <v>4</v>
      </c>
      <c r="B9" s="15" t="s">
        <v>34</v>
      </c>
      <c r="C9" s="35" t="s">
        <v>32</v>
      </c>
      <c r="D9" s="35" t="s">
        <v>33</v>
      </c>
      <c r="E9" s="31" t="s">
        <v>35</v>
      </c>
      <c r="F9" s="31" t="s">
        <v>35</v>
      </c>
      <c r="G9" s="25">
        <v>42605</v>
      </c>
      <c r="H9" s="26">
        <v>9355</v>
      </c>
      <c r="I9" s="27">
        <v>143623270</v>
      </c>
      <c r="J9" s="28">
        <v>0</v>
      </c>
      <c r="K9" s="28">
        <v>130022476</v>
      </c>
      <c r="L9" s="28">
        <v>13600794</v>
      </c>
      <c r="M9" s="27">
        <v>0</v>
      </c>
      <c r="N9" s="28">
        <v>0</v>
      </c>
      <c r="O9" s="29">
        <v>0</v>
      </c>
      <c r="P9" s="20">
        <v>0</v>
      </c>
      <c r="Q9" s="21">
        <v>0</v>
      </c>
    </row>
    <row r="10" spans="1:17" s="41" customFormat="1">
      <c r="A10" s="36">
        <v>4</v>
      </c>
      <c r="B10" s="15" t="s">
        <v>36</v>
      </c>
      <c r="C10" s="37" t="s">
        <v>32</v>
      </c>
      <c r="D10" s="35" t="s">
        <v>33</v>
      </c>
      <c r="E10" s="30" t="s">
        <v>23</v>
      </c>
      <c r="F10" s="30" t="s">
        <v>24</v>
      </c>
      <c r="G10" s="38">
        <v>42775</v>
      </c>
      <c r="H10" s="39" t="s">
        <v>25</v>
      </c>
      <c r="I10" s="27">
        <v>276979585.48333335</v>
      </c>
      <c r="J10" s="40">
        <v>0</v>
      </c>
      <c r="K10" s="40">
        <v>0</v>
      </c>
      <c r="L10" s="28">
        <v>235781480</v>
      </c>
      <c r="M10" s="27">
        <v>0</v>
      </c>
      <c r="N10" s="40">
        <v>0</v>
      </c>
      <c r="O10" s="34">
        <v>0</v>
      </c>
      <c r="P10" s="20">
        <v>0</v>
      </c>
      <c r="Q10" s="21">
        <v>0</v>
      </c>
    </row>
    <row r="11" spans="1:17" ht="15.75" customHeight="1">
      <c r="A11" s="14">
        <v>5</v>
      </c>
      <c r="B11" s="15" t="s">
        <v>37</v>
      </c>
      <c r="C11" s="37" t="s">
        <v>32</v>
      </c>
      <c r="D11" s="31" t="s">
        <v>38</v>
      </c>
      <c r="E11" s="30" t="s">
        <v>23</v>
      </c>
      <c r="F11" s="30" t="s">
        <v>24</v>
      </c>
      <c r="G11" s="42">
        <v>42332</v>
      </c>
      <c r="H11" s="33" t="s">
        <v>25</v>
      </c>
      <c r="I11" s="27">
        <v>193801898</v>
      </c>
      <c r="J11" s="28">
        <v>99894578</v>
      </c>
      <c r="K11" s="28">
        <v>81728093</v>
      </c>
      <c r="L11" s="28">
        <v>12179227</v>
      </c>
      <c r="M11" s="27">
        <f>212993039-4770217+2009992-28407775</f>
        <v>181825039</v>
      </c>
      <c r="N11" s="28">
        <v>95404347</v>
      </c>
      <c r="O11" s="29">
        <f>117588692-4770217+2009992-28407775</f>
        <v>86420692</v>
      </c>
      <c r="P11" s="20">
        <v>0</v>
      </c>
      <c r="Q11" s="21">
        <v>0</v>
      </c>
    </row>
    <row r="12" spans="1:17" ht="15.75" customHeight="1">
      <c r="A12" s="14">
        <v>5</v>
      </c>
      <c r="B12" s="15" t="s">
        <v>36</v>
      </c>
      <c r="C12" s="37" t="s">
        <v>32</v>
      </c>
      <c r="D12" s="31" t="s">
        <v>38</v>
      </c>
      <c r="E12" s="30" t="s">
        <v>23</v>
      </c>
      <c r="F12" s="30" t="s">
        <v>24</v>
      </c>
      <c r="G12" s="42">
        <v>43049</v>
      </c>
      <c r="H12" s="33" t="s">
        <v>25</v>
      </c>
      <c r="I12" s="27">
        <f>212955701+24841000</f>
        <v>237796701</v>
      </c>
      <c r="J12" s="28">
        <v>0</v>
      </c>
      <c r="K12" s="28">
        <v>0</v>
      </c>
      <c r="L12" s="28">
        <f>24841000+135517264</f>
        <v>160358264</v>
      </c>
      <c r="M12" s="27">
        <v>0</v>
      </c>
      <c r="N12" s="28">
        <v>0</v>
      </c>
      <c r="O12" s="29">
        <v>0</v>
      </c>
      <c r="P12" s="20">
        <v>0</v>
      </c>
      <c r="Q12" s="21">
        <v>0</v>
      </c>
    </row>
    <row r="13" spans="1:17" ht="15" customHeight="1">
      <c r="A13" s="14">
        <v>6</v>
      </c>
      <c r="B13" s="15" t="s">
        <v>39</v>
      </c>
      <c r="C13" s="35" t="s">
        <v>40</v>
      </c>
      <c r="D13" s="35" t="s">
        <v>41</v>
      </c>
      <c r="E13" s="24" t="s">
        <v>23</v>
      </c>
      <c r="F13" s="24" t="s">
        <v>24</v>
      </c>
      <c r="G13" s="25">
        <v>42191</v>
      </c>
      <c r="H13" s="26" t="s">
        <v>25</v>
      </c>
      <c r="I13" s="27">
        <v>223387784</v>
      </c>
      <c r="J13" s="28">
        <v>137824273</v>
      </c>
      <c r="K13" s="28">
        <v>85563511</v>
      </c>
      <c r="L13" s="28">
        <v>0</v>
      </c>
      <c r="M13" s="27">
        <f>244205880-35896096+12457169</f>
        <v>220766953</v>
      </c>
      <c r="N13" s="28">
        <v>154874299</v>
      </c>
      <c r="O13" s="29">
        <f>89331581-35896096+12457169</f>
        <v>65892654</v>
      </c>
      <c r="P13" s="20">
        <v>244705879.59999999</v>
      </c>
      <c r="Q13" s="21">
        <f>108957218+4500000</f>
        <v>113457218</v>
      </c>
    </row>
    <row r="14" spans="1:17">
      <c r="A14" s="14">
        <v>7</v>
      </c>
      <c r="B14" s="15" t="s">
        <v>42</v>
      </c>
      <c r="C14" s="24" t="s">
        <v>40</v>
      </c>
      <c r="D14" s="24" t="s">
        <v>43</v>
      </c>
      <c r="E14" s="24" t="s">
        <v>23</v>
      </c>
      <c r="F14" s="24" t="s">
        <v>24</v>
      </c>
      <c r="G14" s="25">
        <v>42191</v>
      </c>
      <c r="H14" s="26" t="s">
        <v>25</v>
      </c>
      <c r="I14" s="27">
        <f>191541323+4081584</f>
        <v>195622907</v>
      </c>
      <c r="J14" s="28">
        <v>142870233</v>
      </c>
      <c r="K14" s="28">
        <v>35326799</v>
      </c>
      <c r="L14" s="28">
        <v>17425875</v>
      </c>
      <c r="M14" s="27">
        <f>193216532-24510949-6510104</f>
        <v>162195479</v>
      </c>
      <c r="N14" s="28">
        <v>87959947</v>
      </c>
      <c r="O14" s="29">
        <f>105256585-24510949-6510104</f>
        <v>74235532</v>
      </c>
      <c r="P14" s="20">
        <v>193153144.32067358</v>
      </c>
      <c r="Q14" s="21">
        <v>122215642.00000001</v>
      </c>
    </row>
    <row r="15" spans="1:17" ht="15" customHeight="1">
      <c r="A15" s="14">
        <v>8</v>
      </c>
      <c r="B15" s="15" t="s">
        <v>42</v>
      </c>
      <c r="C15" s="30" t="s">
        <v>44</v>
      </c>
      <c r="D15" s="31" t="s">
        <v>45</v>
      </c>
      <c r="E15" s="30" t="s">
        <v>23</v>
      </c>
      <c r="F15" s="30" t="s">
        <v>24</v>
      </c>
      <c r="G15" s="32">
        <v>42724</v>
      </c>
      <c r="H15" s="26" t="s">
        <v>25</v>
      </c>
      <c r="I15" s="27">
        <v>234915366</v>
      </c>
      <c r="J15" s="28">
        <v>0</v>
      </c>
      <c r="K15" s="28">
        <v>218753829</v>
      </c>
      <c r="L15" s="28">
        <f>1187868+1625565+3930163</f>
        <v>6743596</v>
      </c>
      <c r="M15" s="20">
        <v>214759212</v>
      </c>
      <c r="N15" s="28">
        <v>0</v>
      </c>
      <c r="O15" s="21">
        <v>135627680</v>
      </c>
      <c r="P15" s="20">
        <v>0</v>
      </c>
      <c r="Q15" s="21">
        <v>0</v>
      </c>
    </row>
    <row r="16" spans="1:17" ht="15" customHeight="1">
      <c r="A16" s="14">
        <v>9</v>
      </c>
      <c r="B16" s="15" t="s">
        <v>42</v>
      </c>
      <c r="C16" s="24" t="s">
        <v>44</v>
      </c>
      <c r="D16" s="24" t="s">
        <v>46</v>
      </c>
      <c r="E16" s="24" t="s">
        <v>23</v>
      </c>
      <c r="F16" s="24" t="s">
        <v>24</v>
      </c>
      <c r="G16" s="25">
        <v>42191</v>
      </c>
      <c r="H16" s="26" t="s">
        <v>25</v>
      </c>
      <c r="I16" s="27">
        <v>254934603</v>
      </c>
      <c r="J16" s="28">
        <v>155755016</v>
      </c>
      <c r="K16" s="28">
        <v>99179587</v>
      </c>
      <c r="L16" s="28">
        <v>0</v>
      </c>
      <c r="M16" s="27">
        <f>244138230-8865330-192254</f>
        <v>235080646</v>
      </c>
      <c r="N16" s="28">
        <v>138821786</v>
      </c>
      <c r="O16" s="29">
        <f>105316444-8865330-192254</f>
        <v>96258860</v>
      </c>
      <c r="P16" s="20">
        <v>244449886.17999998</v>
      </c>
      <c r="Q16" s="21">
        <v>110636312.00000001</v>
      </c>
    </row>
    <row r="17" spans="1:19">
      <c r="A17" s="14">
        <v>10</v>
      </c>
      <c r="B17" s="15" t="s">
        <v>42</v>
      </c>
      <c r="C17" s="30" t="s">
        <v>44</v>
      </c>
      <c r="D17" s="31" t="s">
        <v>47</v>
      </c>
      <c r="E17" s="30" t="s">
        <v>23</v>
      </c>
      <c r="F17" s="30" t="s">
        <v>24</v>
      </c>
      <c r="G17" s="32">
        <v>42332</v>
      </c>
      <c r="H17" s="33" t="s">
        <v>25</v>
      </c>
      <c r="I17" s="27">
        <f>202557995+4252966</f>
        <v>206810961</v>
      </c>
      <c r="J17" s="28">
        <v>106469607</v>
      </c>
      <c r="K17" s="28">
        <v>84281788</v>
      </c>
      <c r="L17" s="28">
        <v>16059566</v>
      </c>
      <c r="M17" s="27">
        <f>173531867+14864911</f>
        <v>188396778</v>
      </c>
      <c r="N17" s="28">
        <v>97281717</v>
      </c>
      <c r="O17" s="29">
        <f>800770+19155478+1618406+35269590+2900363+16505543</f>
        <v>76250150</v>
      </c>
      <c r="P17" s="20">
        <v>215220480</v>
      </c>
      <c r="Q17" s="21">
        <v>97281718</v>
      </c>
    </row>
    <row r="18" spans="1:19" s="41" customFormat="1" ht="15" customHeight="1">
      <c r="A18" s="14">
        <v>11</v>
      </c>
      <c r="B18" s="15" t="s">
        <v>48</v>
      </c>
      <c r="C18" s="30" t="s">
        <v>49</v>
      </c>
      <c r="D18" s="31" t="s">
        <v>50</v>
      </c>
      <c r="E18" s="30" t="s">
        <v>23</v>
      </c>
      <c r="F18" s="30" t="s">
        <v>24</v>
      </c>
      <c r="G18" s="32">
        <v>42788</v>
      </c>
      <c r="H18" s="33" t="s">
        <v>25</v>
      </c>
      <c r="I18" s="27">
        <f>297307916-6102379</f>
        <v>291205537</v>
      </c>
      <c r="J18" s="40">
        <v>0</v>
      </c>
      <c r="K18" s="40">
        <v>0</v>
      </c>
      <c r="L18" s="40">
        <v>277308318</v>
      </c>
      <c r="M18" s="27">
        <v>0</v>
      </c>
      <c r="N18" s="40">
        <v>0</v>
      </c>
      <c r="O18" s="34">
        <v>0</v>
      </c>
      <c r="P18" s="20">
        <v>0</v>
      </c>
      <c r="Q18" s="21">
        <v>0</v>
      </c>
    </row>
    <row r="19" spans="1:19" ht="15" customHeight="1">
      <c r="A19" s="14">
        <v>12</v>
      </c>
      <c r="B19" s="15" t="s">
        <v>48</v>
      </c>
      <c r="C19" s="24" t="s">
        <v>49</v>
      </c>
      <c r="D19" s="24" t="s">
        <v>51</v>
      </c>
      <c r="E19" s="24" t="s">
        <v>23</v>
      </c>
      <c r="F19" s="24" t="s">
        <v>24</v>
      </c>
      <c r="G19" s="25">
        <v>42191</v>
      </c>
      <c r="H19" s="26" t="s">
        <v>25</v>
      </c>
      <c r="I19" s="27">
        <v>284896846</v>
      </c>
      <c r="J19" s="28">
        <v>180645414</v>
      </c>
      <c r="K19" s="28">
        <v>104251432</v>
      </c>
      <c r="L19" s="28">
        <v>0</v>
      </c>
      <c r="M19" s="27">
        <f>285393715-29402342+2651898</f>
        <v>258643271</v>
      </c>
      <c r="N19" s="28">
        <v>129497143</v>
      </c>
      <c r="O19" s="29">
        <f>155896572-29402342+2651898</f>
        <v>129146128</v>
      </c>
      <c r="P19" s="20">
        <v>270410142.85714287</v>
      </c>
      <c r="Q19" s="21">
        <v>171761000</v>
      </c>
    </row>
    <row r="20" spans="1:19" ht="15.75" customHeight="1">
      <c r="A20" s="14">
        <v>13</v>
      </c>
      <c r="B20" s="15" t="s">
        <v>52</v>
      </c>
      <c r="C20" s="30" t="s">
        <v>49</v>
      </c>
      <c r="D20" s="31" t="s">
        <v>53</v>
      </c>
      <c r="E20" s="30" t="s">
        <v>23</v>
      </c>
      <c r="F20" s="30" t="s">
        <v>24</v>
      </c>
      <c r="G20" s="32">
        <v>42347</v>
      </c>
      <c r="H20" s="26" t="s">
        <v>25</v>
      </c>
      <c r="I20" s="27">
        <v>142662309</v>
      </c>
      <c r="J20" s="28">
        <v>91629357</v>
      </c>
      <c r="K20" s="28">
        <v>38873159</v>
      </c>
      <c r="L20" s="28">
        <v>12159793</v>
      </c>
      <c r="M20" s="27">
        <f>190797789-18495478</f>
        <v>172302311</v>
      </c>
      <c r="N20" s="28">
        <v>85559995</v>
      </c>
      <c r="O20" s="29">
        <f>100959795-18495478-1403349</f>
        <v>81060968</v>
      </c>
      <c r="P20" s="20">
        <v>188766069</v>
      </c>
      <c r="Q20" s="21">
        <v>136372795</v>
      </c>
    </row>
    <row r="21" spans="1:19" ht="15" customHeight="1">
      <c r="A21" s="14">
        <v>14</v>
      </c>
      <c r="B21" s="15" t="s">
        <v>54</v>
      </c>
      <c r="C21" s="24" t="s">
        <v>49</v>
      </c>
      <c r="D21" s="24" t="s">
        <v>55</v>
      </c>
      <c r="E21" s="24" t="s">
        <v>23</v>
      </c>
      <c r="F21" s="24" t="s">
        <v>24</v>
      </c>
      <c r="G21" s="25">
        <v>42191</v>
      </c>
      <c r="H21" s="33" t="s">
        <v>25</v>
      </c>
      <c r="I21" s="27">
        <v>351984828</v>
      </c>
      <c r="J21" s="28">
        <v>215716986</v>
      </c>
      <c r="K21" s="28">
        <v>136267842</v>
      </c>
      <c r="L21" s="28">
        <v>0</v>
      </c>
      <c r="M21" s="27">
        <f>357000000-37454100-4</f>
        <v>319545896</v>
      </c>
      <c r="N21" s="28">
        <v>238665082</v>
      </c>
      <c r="O21" s="29">
        <f>6563138+62875020+5230925+23069692+4032554+16400747-35932378-1358884</f>
        <v>80880814</v>
      </c>
      <c r="P21" s="20">
        <v>356866563</v>
      </c>
      <c r="Q21" s="21">
        <f>161136819+54836212</f>
        <v>215973031</v>
      </c>
    </row>
    <row r="22" spans="1:19" ht="15" customHeight="1">
      <c r="A22" s="14">
        <v>15</v>
      </c>
      <c r="B22" s="15" t="s">
        <v>56</v>
      </c>
      <c r="C22" s="30" t="s">
        <v>57</v>
      </c>
      <c r="D22" s="31" t="s">
        <v>58</v>
      </c>
      <c r="E22" s="30" t="s">
        <v>23</v>
      </c>
      <c r="F22" s="30" t="s">
        <v>24</v>
      </c>
      <c r="G22" s="32">
        <v>42760</v>
      </c>
      <c r="H22" s="26" t="s">
        <v>25</v>
      </c>
      <c r="I22" s="27">
        <v>328868879.80000001</v>
      </c>
      <c r="J22" s="28">
        <v>0</v>
      </c>
      <c r="K22" s="28">
        <v>0</v>
      </c>
      <c r="L22" s="40">
        <f>29000000+268579368+4431575+2674966+3758950+6536029</f>
        <v>314980888</v>
      </c>
      <c r="M22" s="27">
        <v>298031479</v>
      </c>
      <c r="N22" s="28">
        <v>0</v>
      </c>
      <c r="O22" s="29">
        <v>267664981</v>
      </c>
      <c r="P22" s="20">
        <v>0</v>
      </c>
      <c r="Q22" s="21">
        <v>0</v>
      </c>
    </row>
    <row r="23" spans="1:19" ht="15.75" customHeight="1">
      <c r="A23" s="14">
        <v>16</v>
      </c>
      <c r="B23" s="15" t="s">
        <v>59</v>
      </c>
      <c r="C23" s="30" t="s">
        <v>57</v>
      </c>
      <c r="D23" s="24" t="s">
        <v>60</v>
      </c>
      <c r="E23" s="30" t="s">
        <v>23</v>
      </c>
      <c r="F23" s="30" t="s">
        <v>24</v>
      </c>
      <c r="G23" s="32">
        <v>42684</v>
      </c>
      <c r="H23" s="26" t="s">
        <v>25</v>
      </c>
      <c r="I23" s="27">
        <f>313192352-7475605</f>
        <v>305716747</v>
      </c>
      <c r="J23" s="28">
        <v>0</v>
      </c>
      <c r="K23" s="28">
        <v>155451069.08179998</v>
      </c>
      <c r="L23" s="28">
        <f>6000000+42101516+3244473+1082474+45331717+1930012+83419+3493403+28529745+8617300</f>
        <v>140414059</v>
      </c>
      <c r="M23" s="20">
        <v>282398189</v>
      </c>
      <c r="N23" s="28">
        <v>0</v>
      </c>
      <c r="O23" s="21">
        <f>125612716+5402022</f>
        <v>131014738</v>
      </c>
      <c r="P23" s="20">
        <v>0</v>
      </c>
      <c r="Q23" s="21">
        <v>0</v>
      </c>
    </row>
    <row r="24" spans="1:19" ht="15.75" customHeight="1">
      <c r="A24" s="14">
        <v>17</v>
      </c>
      <c r="B24" s="15" t="s">
        <v>61</v>
      </c>
      <c r="C24" s="24" t="s">
        <v>57</v>
      </c>
      <c r="D24" s="31" t="s">
        <v>62</v>
      </c>
      <c r="E24" s="24" t="s">
        <v>23</v>
      </c>
      <c r="F24" s="24" t="s">
        <v>24</v>
      </c>
      <c r="G24" s="42">
        <v>42300</v>
      </c>
      <c r="H24" s="26" t="s">
        <v>25</v>
      </c>
      <c r="I24" s="27">
        <v>311213800</v>
      </c>
      <c r="J24" s="28">
        <v>166541130</v>
      </c>
      <c r="K24" s="28">
        <v>135201376</v>
      </c>
      <c r="L24" s="28">
        <v>9471294</v>
      </c>
      <c r="M24" s="27">
        <f>292234580-9683241</f>
        <v>282551339</v>
      </c>
      <c r="N24" s="28">
        <v>132833900</v>
      </c>
      <c r="O24" s="29">
        <f>43707758+56437275+3594658+4746431+16363931+5279213</f>
        <v>130129266</v>
      </c>
      <c r="P24" s="20">
        <v>292234580</v>
      </c>
      <c r="Q24" s="21">
        <f>132451537+841199</f>
        <v>133292736</v>
      </c>
    </row>
    <row r="25" spans="1:19" ht="15.75" customHeight="1">
      <c r="A25" s="14">
        <v>18</v>
      </c>
      <c r="B25" s="15" t="s">
        <v>63</v>
      </c>
      <c r="C25" s="30" t="s">
        <v>57</v>
      </c>
      <c r="D25" s="31" t="s">
        <v>64</v>
      </c>
      <c r="E25" s="30" t="s">
        <v>23</v>
      </c>
      <c r="F25" s="30" t="s">
        <v>24</v>
      </c>
      <c r="G25" s="32">
        <v>42332</v>
      </c>
      <c r="H25" s="26" t="s">
        <v>25</v>
      </c>
      <c r="I25" s="27">
        <v>304880168</v>
      </c>
      <c r="J25" s="28">
        <v>136393672</v>
      </c>
      <c r="K25" s="28">
        <v>158795265</v>
      </c>
      <c r="L25" s="28">
        <v>9691231</v>
      </c>
      <c r="M25" s="27">
        <f>293105201-724384</f>
        <v>292380817</v>
      </c>
      <c r="N25" s="28">
        <v>0</v>
      </c>
      <c r="O25" s="29">
        <f>286580083-724384-12915151</f>
        <v>272940548</v>
      </c>
      <c r="P25" s="20">
        <v>293105200</v>
      </c>
      <c r="Q25" s="21">
        <f>130502364+5829328</f>
        <v>136331692</v>
      </c>
    </row>
    <row r="26" spans="1:19" ht="15.75" customHeight="1">
      <c r="A26" s="14">
        <v>19</v>
      </c>
      <c r="B26" s="15" t="s">
        <v>65</v>
      </c>
      <c r="C26" s="30" t="s">
        <v>57</v>
      </c>
      <c r="D26" s="31" t="s">
        <v>66</v>
      </c>
      <c r="E26" s="30" t="s">
        <v>23</v>
      </c>
      <c r="F26" s="30" t="s">
        <v>24</v>
      </c>
      <c r="G26" s="32">
        <v>42724</v>
      </c>
      <c r="H26" s="26" t="s">
        <v>25</v>
      </c>
      <c r="I26" s="27">
        <v>318780365.31599998</v>
      </c>
      <c r="J26" s="28">
        <v>0</v>
      </c>
      <c r="K26" s="28">
        <v>283635307.31599998</v>
      </c>
      <c r="L26" s="28">
        <f>9681527+1+4646368+3462081+6318179+715577</f>
        <v>24823733</v>
      </c>
      <c r="M26" s="20">
        <v>288598809</v>
      </c>
      <c r="N26" s="28">
        <v>0</v>
      </c>
      <c r="O26" s="21">
        <f>127317641+6110000</f>
        <v>133427641</v>
      </c>
      <c r="P26" s="20">
        <v>0</v>
      </c>
      <c r="Q26" s="21">
        <v>0</v>
      </c>
    </row>
    <row r="27" spans="1:19" ht="15.75" customHeight="1">
      <c r="A27" s="14">
        <v>20</v>
      </c>
      <c r="B27" s="15" t="s">
        <v>65</v>
      </c>
      <c r="C27" s="30" t="s">
        <v>57</v>
      </c>
      <c r="D27" s="31" t="s">
        <v>67</v>
      </c>
      <c r="E27" s="30" t="s">
        <v>23</v>
      </c>
      <c r="F27" s="30" t="s">
        <v>24</v>
      </c>
      <c r="G27" s="32">
        <v>42724</v>
      </c>
      <c r="H27" s="26" t="s">
        <v>25</v>
      </c>
      <c r="I27" s="27">
        <v>311922952</v>
      </c>
      <c r="J27" s="28">
        <v>0</v>
      </c>
      <c r="K27" s="28">
        <v>277695121</v>
      </c>
      <c r="L27" s="28">
        <f>9358319+3947519+5385755+6734296</f>
        <v>25425889</v>
      </c>
      <c r="M27" s="20">
        <v>282922952</v>
      </c>
      <c r="N27" s="28">
        <v>0</v>
      </c>
      <c r="O27" s="21">
        <f>125783160+5689677</f>
        <v>131472837</v>
      </c>
      <c r="P27" s="20">
        <v>0</v>
      </c>
      <c r="Q27" s="21">
        <v>0</v>
      </c>
    </row>
    <row r="28" spans="1:19" ht="15" customHeight="1">
      <c r="A28" s="14">
        <v>21</v>
      </c>
      <c r="B28" s="15" t="s">
        <v>42</v>
      </c>
      <c r="C28" s="24" t="s">
        <v>57</v>
      </c>
      <c r="D28" s="24" t="s">
        <v>68</v>
      </c>
      <c r="E28" s="24" t="s">
        <v>23</v>
      </c>
      <c r="F28" s="24" t="s">
        <v>24</v>
      </c>
      <c r="G28" s="25">
        <v>42223</v>
      </c>
      <c r="H28" s="26" t="s">
        <v>25</v>
      </c>
      <c r="I28" s="27">
        <v>257395861</v>
      </c>
      <c r="J28" s="28">
        <v>176424944</v>
      </c>
      <c r="K28" s="28">
        <v>80970917</v>
      </c>
      <c r="L28" s="28">
        <v>0</v>
      </c>
      <c r="M28" s="27">
        <f>276503682-2815862-23248629</f>
        <v>250439191</v>
      </c>
      <c r="N28" s="28">
        <v>179754142</v>
      </c>
      <c r="O28" s="29">
        <f>1464248+50580452+5499341+114340+1811239+3968778+40000+10022513-812283-2003579</f>
        <v>70685049</v>
      </c>
      <c r="P28" s="20">
        <v>276503681.95984197</v>
      </c>
      <c r="Q28" s="21">
        <v>175002343</v>
      </c>
    </row>
    <row r="29" spans="1:19" ht="15.75" customHeight="1">
      <c r="A29" s="14">
        <v>22</v>
      </c>
      <c r="B29" s="15" t="s">
        <v>69</v>
      </c>
      <c r="C29" s="30" t="s">
        <v>57</v>
      </c>
      <c r="D29" s="24" t="s">
        <v>70</v>
      </c>
      <c r="E29" s="30" t="s">
        <v>23</v>
      </c>
      <c r="F29" s="30" t="s">
        <v>24</v>
      </c>
      <c r="G29" s="32">
        <v>42677</v>
      </c>
      <c r="H29" s="26" t="s">
        <v>25</v>
      </c>
      <c r="I29" s="27">
        <v>328213873</v>
      </c>
      <c r="J29" s="28">
        <v>0</v>
      </c>
      <c r="K29" s="28">
        <v>0</v>
      </c>
      <c r="L29" s="28">
        <v>310509095</v>
      </c>
      <c r="M29" s="20">
        <v>299228872</v>
      </c>
      <c r="N29" s="28">
        <v>0</v>
      </c>
      <c r="O29" s="21">
        <f>133285851+6000000</f>
        <v>139285851</v>
      </c>
      <c r="P29" s="20">
        <v>0</v>
      </c>
      <c r="Q29" s="21">
        <v>0</v>
      </c>
      <c r="S29" s="43"/>
    </row>
    <row r="30" spans="1:19" ht="15.75" customHeight="1">
      <c r="A30" s="14">
        <v>23</v>
      </c>
      <c r="B30" s="15" t="s">
        <v>71</v>
      </c>
      <c r="C30" s="30" t="s">
        <v>57</v>
      </c>
      <c r="D30" s="31" t="s">
        <v>72</v>
      </c>
      <c r="E30" s="30" t="s">
        <v>23</v>
      </c>
      <c r="F30" s="30" t="s">
        <v>24</v>
      </c>
      <c r="G30" s="32">
        <v>42760</v>
      </c>
      <c r="H30" s="26" t="s">
        <v>25</v>
      </c>
      <c r="I30" s="27">
        <v>325580000.32484305</v>
      </c>
      <c r="J30" s="28">
        <v>0</v>
      </c>
      <c r="K30" s="28">
        <v>0</v>
      </c>
      <c r="L30" s="44">
        <f>29000000+259564035+4431575+11031375+2923603+3729830-4431575+3839022</f>
        <v>310087865</v>
      </c>
      <c r="M30" s="27">
        <v>296459216</v>
      </c>
      <c r="N30" s="28">
        <v>0</v>
      </c>
      <c r="O30" s="29">
        <v>78642136</v>
      </c>
      <c r="P30" s="20">
        <v>0</v>
      </c>
      <c r="Q30" s="21">
        <v>0</v>
      </c>
    </row>
    <row r="31" spans="1:19" s="41" customFormat="1" ht="15.75" customHeight="1">
      <c r="A31" s="14">
        <v>24</v>
      </c>
      <c r="B31" s="15" t="s">
        <v>71</v>
      </c>
      <c r="C31" s="30" t="s">
        <v>57</v>
      </c>
      <c r="D31" s="31" t="s">
        <v>73</v>
      </c>
      <c r="E31" s="30" t="s">
        <v>23</v>
      </c>
      <c r="F31" s="30" t="s">
        <v>24</v>
      </c>
      <c r="G31" s="32">
        <v>42794</v>
      </c>
      <c r="H31" s="33" t="s">
        <v>25</v>
      </c>
      <c r="I31" s="27">
        <v>240619999.67927924</v>
      </c>
      <c r="J31" s="40">
        <v>0</v>
      </c>
      <c r="K31" s="40">
        <v>0</v>
      </c>
      <c r="L31" s="28">
        <f>25000000+188563636+8066648+2385678+2937110+71</f>
        <v>226953143</v>
      </c>
      <c r="M31" s="27">
        <v>215487991</v>
      </c>
      <c r="N31" s="40">
        <v>0</v>
      </c>
      <c r="O31" s="34">
        <f>89386090+720758</f>
        <v>90106848</v>
      </c>
      <c r="P31" s="20">
        <v>0</v>
      </c>
      <c r="Q31" s="21">
        <v>0</v>
      </c>
    </row>
    <row r="32" spans="1:19" ht="15.75" customHeight="1">
      <c r="A32" s="14">
        <v>25</v>
      </c>
      <c r="B32" s="15" t="s">
        <v>74</v>
      </c>
      <c r="C32" s="30" t="s">
        <v>57</v>
      </c>
      <c r="D32" s="31" t="s">
        <v>75</v>
      </c>
      <c r="E32" s="30" t="s">
        <v>23</v>
      </c>
      <c r="F32" s="30" t="s">
        <v>24</v>
      </c>
      <c r="G32" s="32">
        <v>42724</v>
      </c>
      <c r="H32" s="26" t="s">
        <v>25</v>
      </c>
      <c r="I32" s="27">
        <v>237044353</v>
      </c>
      <c r="J32" s="28">
        <v>0</v>
      </c>
      <c r="K32" s="28">
        <v>217758503</v>
      </c>
      <c r="L32" s="28">
        <f>1419975+2595828+2811788</f>
        <v>6827591</v>
      </c>
      <c r="M32" s="20">
        <v>215479781</v>
      </c>
      <c r="N32" s="28">
        <v>0</v>
      </c>
      <c r="O32" s="21">
        <v>137123497</v>
      </c>
      <c r="P32" s="20">
        <v>0</v>
      </c>
      <c r="Q32" s="21">
        <v>0</v>
      </c>
    </row>
    <row r="33" spans="1:17" ht="15" customHeight="1">
      <c r="A33" s="14">
        <v>26</v>
      </c>
      <c r="B33" s="15" t="s">
        <v>65</v>
      </c>
      <c r="C33" s="24" t="s">
        <v>57</v>
      </c>
      <c r="D33" s="24" t="s">
        <v>76</v>
      </c>
      <c r="E33" s="24" t="s">
        <v>23</v>
      </c>
      <c r="F33" s="24" t="s">
        <v>24</v>
      </c>
      <c r="G33" s="25">
        <v>42223</v>
      </c>
      <c r="H33" s="45" t="s">
        <v>25</v>
      </c>
      <c r="I33" s="27">
        <v>324602673</v>
      </c>
      <c r="J33" s="28">
        <v>187322720</v>
      </c>
      <c r="K33" s="28">
        <v>137279953</v>
      </c>
      <c r="L33" s="28">
        <v>0</v>
      </c>
      <c r="M33" s="27">
        <f>286120608-803700-21109307</f>
        <v>264207601</v>
      </c>
      <c r="N33" s="28">
        <v>198023510</v>
      </c>
      <c r="O33" s="29">
        <f>5186714+49798693+3802749+12047377+3357034+13100831-14464697-6644610</f>
        <v>66184091</v>
      </c>
      <c r="P33" s="20">
        <v>284529035.31200004</v>
      </c>
      <c r="Q33" s="21">
        <f>175845750+7295873</f>
        <v>183141623</v>
      </c>
    </row>
    <row r="34" spans="1:17" ht="15" customHeight="1">
      <c r="A34" s="14">
        <v>27</v>
      </c>
      <c r="B34" s="15" t="s">
        <v>56</v>
      </c>
      <c r="C34" s="24" t="s">
        <v>57</v>
      </c>
      <c r="D34" s="24" t="s">
        <v>77</v>
      </c>
      <c r="E34" s="24" t="s">
        <v>23</v>
      </c>
      <c r="F34" s="24" t="s">
        <v>24</v>
      </c>
      <c r="G34" s="25">
        <v>42223</v>
      </c>
      <c r="H34" s="33" t="s">
        <v>25</v>
      </c>
      <c r="I34" s="27">
        <v>353540204</v>
      </c>
      <c r="J34" s="28">
        <v>216378075</v>
      </c>
      <c r="K34" s="28">
        <v>137162129</v>
      </c>
      <c r="L34" s="28">
        <v>0</v>
      </c>
      <c r="M34" s="27">
        <f>341651505-30819995-713563</f>
        <v>310117947</v>
      </c>
      <c r="N34" s="28">
        <v>211532953</v>
      </c>
      <c r="O34" s="29">
        <f>3423867+61983660+14899998+3038957+21798097+2744247+21516163-4981-30815014</f>
        <v>98584994</v>
      </c>
      <c r="P34" s="20">
        <v>339642638.23999995</v>
      </c>
      <c r="Q34" s="21">
        <f>213781679+3365384</f>
        <v>217147063</v>
      </c>
    </row>
    <row r="35" spans="1:17" ht="15.75" customHeight="1">
      <c r="A35" s="14">
        <v>28</v>
      </c>
      <c r="B35" s="15" t="s">
        <v>42</v>
      </c>
      <c r="C35" s="30" t="s">
        <v>57</v>
      </c>
      <c r="D35" s="31" t="s">
        <v>78</v>
      </c>
      <c r="E35" s="30" t="s">
        <v>23</v>
      </c>
      <c r="F35" s="30" t="s">
        <v>24</v>
      </c>
      <c r="G35" s="32">
        <v>42724</v>
      </c>
      <c r="H35" s="26" t="s">
        <v>25</v>
      </c>
      <c r="I35" s="27">
        <v>233856064.5608753</v>
      </c>
      <c r="J35" s="28">
        <v>0</v>
      </c>
      <c r="K35" s="28">
        <v>213414605.05534118</v>
      </c>
      <c r="L35" s="28">
        <f>1573400+2015806+2435643+5418417</f>
        <v>11443266</v>
      </c>
      <c r="M35" s="20">
        <v>196499165</v>
      </c>
      <c r="N35" s="28">
        <v>0</v>
      </c>
      <c r="O35" s="21">
        <v>124064924</v>
      </c>
      <c r="P35" s="20">
        <v>0</v>
      </c>
      <c r="Q35" s="21">
        <v>0</v>
      </c>
    </row>
    <row r="36" spans="1:17" ht="15" customHeight="1">
      <c r="A36" s="14">
        <v>29</v>
      </c>
      <c r="B36" s="15" t="s">
        <v>79</v>
      </c>
      <c r="C36" s="30" t="s">
        <v>80</v>
      </c>
      <c r="D36" s="31" t="s">
        <v>81</v>
      </c>
      <c r="E36" s="30" t="s">
        <v>23</v>
      </c>
      <c r="F36" s="30" t="s">
        <v>24</v>
      </c>
      <c r="G36" s="32">
        <v>42332</v>
      </c>
      <c r="H36" s="26" t="s">
        <v>25</v>
      </c>
      <c r="I36" s="27">
        <v>295153708</v>
      </c>
      <c r="J36" s="28">
        <v>138861975</v>
      </c>
      <c r="K36" s="28">
        <v>143005496</v>
      </c>
      <c r="L36" s="28">
        <v>13286237</v>
      </c>
      <c r="M36" s="27">
        <f>295548101-19412707</f>
        <v>276135394</v>
      </c>
      <c r="N36" s="28">
        <v>129154978</v>
      </c>
      <c r="O36" s="29">
        <f>10782102+19588001+1659999+45850242+3885611+51716735+4223780</f>
        <v>137706470</v>
      </c>
      <c r="P36" s="20">
        <v>287062698</v>
      </c>
      <c r="Q36" s="21">
        <v>128210318</v>
      </c>
    </row>
    <row r="37" spans="1:17" s="41" customFormat="1" ht="15.75" customHeight="1">
      <c r="A37" s="14">
        <v>30</v>
      </c>
      <c r="B37" s="15" t="s">
        <v>74</v>
      </c>
      <c r="C37" s="30" t="s">
        <v>80</v>
      </c>
      <c r="D37" s="31" t="s">
        <v>82</v>
      </c>
      <c r="E37" s="30" t="s">
        <v>23</v>
      </c>
      <c r="F37" s="30" t="s">
        <v>24</v>
      </c>
      <c r="G37" s="32">
        <v>42724</v>
      </c>
      <c r="H37" s="26" t="s">
        <v>25</v>
      </c>
      <c r="I37" s="27">
        <v>318249522.2513333</v>
      </c>
      <c r="J37" s="28">
        <v>0</v>
      </c>
      <c r="K37" s="28">
        <v>291951202.04666662</v>
      </c>
      <c r="L37" s="28">
        <f>3024761+4804146</f>
        <v>7828907</v>
      </c>
      <c r="M37" s="20">
        <v>288358998</v>
      </c>
      <c r="N37" s="28">
        <v>0</v>
      </c>
      <c r="O37" s="21">
        <v>183501181</v>
      </c>
      <c r="P37" s="20">
        <v>0</v>
      </c>
      <c r="Q37" s="21">
        <v>0</v>
      </c>
    </row>
    <row r="38" spans="1:17" s="41" customFormat="1" ht="15" customHeight="1">
      <c r="A38" s="14">
        <v>31</v>
      </c>
      <c r="B38" s="15" t="s">
        <v>83</v>
      </c>
      <c r="C38" s="24" t="s">
        <v>80</v>
      </c>
      <c r="D38" s="24" t="s">
        <v>84</v>
      </c>
      <c r="E38" s="24" t="s">
        <v>23</v>
      </c>
      <c r="F38" s="24" t="s">
        <v>24</v>
      </c>
      <c r="G38" s="25">
        <v>42223</v>
      </c>
      <c r="H38" s="33" t="s">
        <v>25</v>
      </c>
      <c r="I38" s="27">
        <v>307004814</v>
      </c>
      <c r="J38" s="28">
        <v>189119963</v>
      </c>
      <c r="K38" s="28">
        <v>117884851</v>
      </c>
      <c r="L38" s="28">
        <v>0</v>
      </c>
      <c r="M38" s="27">
        <f>259486015-12500586</f>
        <v>246985429</v>
      </c>
      <c r="N38" s="28">
        <v>171630726</v>
      </c>
      <c r="O38" s="29">
        <f>4297194+67598021+8577192+347906+5804839+1230137-12500586</f>
        <v>75354703</v>
      </c>
      <c r="P38" s="20">
        <v>265103532.09999999</v>
      </c>
      <c r="Q38" s="21">
        <f>117018411+7218356</f>
        <v>124236767</v>
      </c>
    </row>
    <row r="39" spans="1:17" s="41" customFormat="1">
      <c r="A39" s="14">
        <v>32</v>
      </c>
      <c r="B39" s="15" t="s">
        <v>85</v>
      </c>
      <c r="C39" s="24" t="s">
        <v>86</v>
      </c>
      <c r="D39" s="24" t="s">
        <v>87</v>
      </c>
      <c r="E39" s="24" t="s">
        <v>23</v>
      </c>
      <c r="F39" s="24" t="s">
        <v>24</v>
      </c>
      <c r="G39" s="25">
        <v>42261</v>
      </c>
      <c r="H39" s="26" t="s">
        <v>25</v>
      </c>
      <c r="I39" s="27" t="s">
        <v>88</v>
      </c>
      <c r="J39" s="28" t="s">
        <v>88</v>
      </c>
      <c r="K39" s="28" t="s">
        <v>88</v>
      </c>
      <c r="L39" s="28" t="s">
        <v>88</v>
      </c>
      <c r="M39" s="27" t="s">
        <v>88</v>
      </c>
      <c r="N39" s="28" t="s">
        <v>88</v>
      </c>
      <c r="O39" s="29" t="s">
        <v>88</v>
      </c>
      <c r="P39" s="27" t="s">
        <v>88</v>
      </c>
      <c r="Q39" s="28" t="s">
        <v>88</v>
      </c>
    </row>
    <row r="40" spans="1:17" s="41" customFormat="1" ht="15" customHeight="1">
      <c r="A40" s="14">
        <v>33</v>
      </c>
      <c r="B40" s="15" t="s">
        <v>74</v>
      </c>
      <c r="C40" s="30" t="s">
        <v>86</v>
      </c>
      <c r="D40" s="31" t="s">
        <v>89</v>
      </c>
      <c r="E40" s="30" t="s">
        <v>23</v>
      </c>
      <c r="F40" s="30" t="s">
        <v>24</v>
      </c>
      <c r="G40" s="32">
        <v>42332</v>
      </c>
      <c r="H40" s="26" t="s">
        <v>25</v>
      </c>
      <c r="I40" s="27">
        <v>210852881</v>
      </c>
      <c r="J40" s="28">
        <v>107396510</v>
      </c>
      <c r="K40" s="28">
        <v>91634198</v>
      </c>
      <c r="L40" s="28">
        <v>11822173</v>
      </c>
      <c r="M40" s="27">
        <v>222308437</v>
      </c>
      <c r="N40" s="28">
        <v>101049290</v>
      </c>
      <c r="O40" s="29">
        <f>26848391+2570788+13365587+1600991+59555311+7067635</f>
        <v>111008703</v>
      </c>
      <c r="P40" s="27">
        <v>222308437</v>
      </c>
      <c r="Q40" s="28">
        <v>141469005</v>
      </c>
    </row>
    <row r="41" spans="1:17" s="41" customFormat="1" ht="15.75" customHeight="1">
      <c r="A41" s="14">
        <v>34</v>
      </c>
      <c r="B41" s="15" t="s">
        <v>90</v>
      </c>
      <c r="C41" s="24" t="s">
        <v>86</v>
      </c>
      <c r="D41" s="24" t="s">
        <v>91</v>
      </c>
      <c r="E41" s="30" t="s">
        <v>23</v>
      </c>
      <c r="F41" s="30" t="s">
        <v>24</v>
      </c>
      <c r="G41" s="32">
        <v>42677</v>
      </c>
      <c r="H41" s="26" t="s">
        <v>25</v>
      </c>
      <c r="I41" s="27">
        <v>200599798</v>
      </c>
      <c r="J41" s="28">
        <v>0</v>
      </c>
      <c r="K41" s="28">
        <v>116242727.25</v>
      </c>
      <c r="L41" s="28">
        <f>9443328+761114+999568+42205782+3687546+9443056+14608618+3208059</f>
        <v>84357071</v>
      </c>
      <c r="M41" s="27">
        <v>203766999</v>
      </c>
      <c r="N41" s="28">
        <v>0</v>
      </c>
      <c r="O41" s="28">
        <v>92168667</v>
      </c>
      <c r="P41" s="27">
        <v>0</v>
      </c>
      <c r="Q41" s="28">
        <v>0</v>
      </c>
    </row>
    <row r="42" spans="1:17" s="41" customFormat="1" ht="15" customHeight="1">
      <c r="A42" s="14">
        <v>35</v>
      </c>
      <c r="B42" s="15" t="s">
        <v>79</v>
      </c>
      <c r="C42" s="24" t="s">
        <v>86</v>
      </c>
      <c r="D42" s="24" t="s">
        <v>92</v>
      </c>
      <c r="E42" s="24" t="s">
        <v>23</v>
      </c>
      <c r="F42" s="24" t="s">
        <v>24</v>
      </c>
      <c r="G42" s="25">
        <v>42223</v>
      </c>
      <c r="H42" s="33" t="s">
        <v>25</v>
      </c>
      <c r="I42" s="27">
        <v>301545621</v>
      </c>
      <c r="J42" s="28">
        <v>180326578</v>
      </c>
      <c r="K42" s="28">
        <v>121219043</v>
      </c>
      <c r="L42" s="28">
        <v>0</v>
      </c>
      <c r="M42" s="27">
        <f>284354170-7027571-131440</f>
        <v>277195159</v>
      </c>
      <c r="N42" s="28">
        <v>134792341</v>
      </c>
      <c r="O42" s="29">
        <f>9426051+778969+98497833+8393127+10000000+1891429-3853306-5000000</f>
        <v>120134103</v>
      </c>
      <c r="P42" s="20">
        <v>284354156.8263467</v>
      </c>
      <c r="Q42" s="21">
        <f>124700862+4132942</f>
        <v>128833804</v>
      </c>
    </row>
    <row r="43" spans="1:17" s="41" customFormat="1" ht="15" customHeight="1">
      <c r="A43" s="14">
        <v>36</v>
      </c>
      <c r="B43" s="15" t="s">
        <v>93</v>
      </c>
      <c r="C43" s="24" t="s">
        <v>94</v>
      </c>
      <c r="D43" s="24" t="s">
        <v>95</v>
      </c>
      <c r="E43" s="24" t="s">
        <v>23</v>
      </c>
      <c r="F43" s="24" t="s">
        <v>24</v>
      </c>
      <c r="G43" s="25">
        <v>42191</v>
      </c>
      <c r="H43" s="26" t="s">
        <v>25</v>
      </c>
      <c r="I43" s="27">
        <v>161766873</v>
      </c>
      <c r="J43" s="28">
        <v>119566805</v>
      </c>
      <c r="K43" s="28">
        <v>42200068</v>
      </c>
      <c r="L43" s="28">
        <v>0</v>
      </c>
      <c r="M43" s="27">
        <f>179812205-7027517-1000131</f>
        <v>171784557</v>
      </c>
      <c r="N43" s="28">
        <v>109507376</v>
      </c>
      <c r="O43" s="29">
        <f>2179579+19494354+1544554+33674689+4694854-7027517</f>
        <v>54560513</v>
      </c>
      <c r="P43" s="20">
        <v>178739910</v>
      </c>
      <c r="Q43" s="21">
        <v>80609050.000000015</v>
      </c>
    </row>
    <row r="44" spans="1:17" s="41" customFormat="1" ht="15" customHeight="1">
      <c r="A44" s="14">
        <v>37</v>
      </c>
      <c r="B44" s="15" t="s">
        <v>42</v>
      </c>
      <c r="C44" s="24" t="s">
        <v>94</v>
      </c>
      <c r="D44" s="24" t="s">
        <v>96</v>
      </c>
      <c r="E44" s="24" t="s">
        <v>23</v>
      </c>
      <c r="F44" s="24" t="s">
        <v>24</v>
      </c>
      <c r="G44" s="25">
        <v>42191</v>
      </c>
      <c r="H44" s="26" t="s">
        <v>25</v>
      </c>
      <c r="I44" s="27">
        <v>237363476</v>
      </c>
      <c r="J44" s="28">
        <v>185660466</v>
      </c>
      <c r="K44" s="28">
        <v>51703010</v>
      </c>
      <c r="L44" s="28">
        <v>0</v>
      </c>
      <c r="M44" s="27">
        <f>253884997-26722586-529290-5000</f>
        <v>226628121</v>
      </c>
      <c r="N44" s="28">
        <v>160600641</v>
      </c>
      <c r="O44" s="29">
        <f>93284356-26722586-529290-5000</f>
        <v>66027480</v>
      </c>
      <c r="P44" s="20">
        <v>251810112.80000001</v>
      </c>
      <c r="Q44" s="21">
        <v>113777324.00000001</v>
      </c>
    </row>
    <row r="45" spans="1:17" s="41" customFormat="1" ht="15.75" customHeight="1">
      <c r="A45" s="14">
        <v>38</v>
      </c>
      <c r="B45" s="15" t="s">
        <v>97</v>
      </c>
      <c r="C45" s="24" t="s">
        <v>94</v>
      </c>
      <c r="D45" s="24" t="s">
        <v>98</v>
      </c>
      <c r="E45" s="30" t="s">
        <v>23</v>
      </c>
      <c r="F45" s="30" t="s">
        <v>24</v>
      </c>
      <c r="G45" s="32">
        <v>42684</v>
      </c>
      <c r="H45" s="26" t="s">
        <v>25</v>
      </c>
      <c r="I45" s="27">
        <v>401068191</v>
      </c>
      <c r="J45" s="28">
        <v>0</v>
      </c>
      <c r="K45" s="28">
        <v>193319319</v>
      </c>
      <c r="L45" s="28">
        <f>33797496+3098906+30917398+2402573+5514006+61094287+4735185</f>
        <v>141559851</v>
      </c>
      <c r="M45" s="27">
        <v>369725722</v>
      </c>
      <c r="N45" s="28">
        <v>0</v>
      </c>
      <c r="O45" s="28">
        <v>165592861</v>
      </c>
      <c r="P45" s="27">
        <v>0</v>
      </c>
      <c r="Q45" s="28">
        <v>0</v>
      </c>
    </row>
    <row r="46" spans="1:17" s="41" customFormat="1" ht="15.75" customHeight="1">
      <c r="A46" s="14">
        <v>39</v>
      </c>
      <c r="B46" s="15" t="s">
        <v>99</v>
      </c>
      <c r="C46" s="30" t="s">
        <v>94</v>
      </c>
      <c r="D46" s="31" t="s">
        <v>100</v>
      </c>
      <c r="E46" s="30" t="s">
        <v>23</v>
      </c>
      <c r="F46" s="30" t="s">
        <v>24</v>
      </c>
      <c r="G46" s="32">
        <v>42332</v>
      </c>
      <c r="H46" s="33" t="s">
        <v>25</v>
      </c>
      <c r="I46" s="27">
        <v>193219849</v>
      </c>
      <c r="J46" s="28">
        <v>106750981</v>
      </c>
      <c r="K46" s="28">
        <v>71223635</v>
      </c>
      <c r="L46" s="28">
        <v>15245233</v>
      </c>
      <c r="M46" s="27">
        <f>216000000-13309437</f>
        <v>202690563</v>
      </c>
      <c r="N46" s="28">
        <v>98812144</v>
      </c>
      <c r="O46" s="29">
        <f>1634229+90753+23844813+1324168+65333102</f>
        <v>92227065</v>
      </c>
      <c r="P46" s="27">
        <v>216000000</v>
      </c>
      <c r="Q46" s="28">
        <f>97409091</f>
        <v>97409091</v>
      </c>
    </row>
    <row r="47" spans="1:17" s="41" customFormat="1" ht="15" customHeight="1">
      <c r="A47" s="14">
        <v>40</v>
      </c>
      <c r="B47" s="15" t="s">
        <v>29</v>
      </c>
      <c r="C47" s="24" t="s">
        <v>101</v>
      </c>
      <c r="D47" s="24" t="s">
        <v>102</v>
      </c>
      <c r="E47" s="24" t="s">
        <v>23</v>
      </c>
      <c r="F47" s="24" t="s">
        <v>24</v>
      </c>
      <c r="G47" s="25">
        <v>42223</v>
      </c>
      <c r="H47" s="26" t="s">
        <v>25</v>
      </c>
      <c r="I47" s="27">
        <v>175547762</v>
      </c>
      <c r="J47" s="28">
        <v>92163968</v>
      </c>
      <c r="K47" s="28">
        <v>83383794</v>
      </c>
      <c r="L47" s="28">
        <v>0</v>
      </c>
      <c r="M47" s="27">
        <f>192921916-2324552</f>
        <v>190597364</v>
      </c>
      <c r="N47" s="28">
        <v>114676013</v>
      </c>
      <c r="O47" s="29">
        <f>78245903-2324552</f>
        <v>75921351</v>
      </c>
      <c r="P47" s="20">
        <v>188136581.09999999</v>
      </c>
      <c r="Q47" s="21">
        <f>84243901+971550</f>
        <v>85215451</v>
      </c>
    </row>
    <row r="48" spans="1:17" s="41" customFormat="1" ht="15" customHeight="1">
      <c r="A48" s="14">
        <v>41</v>
      </c>
      <c r="B48" s="15" t="s">
        <v>103</v>
      </c>
      <c r="C48" s="24" t="s">
        <v>101</v>
      </c>
      <c r="D48" s="24" t="s">
        <v>104</v>
      </c>
      <c r="E48" s="24" t="s">
        <v>23</v>
      </c>
      <c r="F48" s="24" t="s">
        <v>24</v>
      </c>
      <c r="G48" s="25">
        <v>42223</v>
      </c>
      <c r="H48" s="26" t="s">
        <v>25</v>
      </c>
      <c r="I48" s="27">
        <v>277658546</v>
      </c>
      <c r="J48" s="28">
        <v>183668070</v>
      </c>
      <c r="K48" s="28">
        <v>93990476</v>
      </c>
      <c r="L48" s="28">
        <v>0</v>
      </c>
      <c r="M48" s="27">
        <f>291941488-85300-4417043-208480</f>
        <v>287230665</v>
      </c>
      <c r="N48" s="28">
        <v>180578292</v>
      </c>
      <c r="O48" s="29">
        <f>111363196-85300-4417043-208480</f>
        <v>106652373</v>
      </c>
      <c r="P48" s="20">
        <v>286376549.95600003</v>
      </c>
      <c r="Q48" s="21">
        <f>128580250+40914143+1978813</f>
        <v>171473206</v>
      </c>
    </row>
    <row r="49" spans="1:17" s="41" customFormat="1" ht="15.75" customHeight="1">
      <c r="A49" s="14">
        <v>42</v>
      </c>
      <c r="B49" s="15" t="s">
        <v>103</v>
      </c>
      <c r="C49" s="24" t="s">
        <v>101</v>
      </c>
      <c r="D49" s="24" t="s">
        <v>105</v>
      </c>
      <c r="E49" s="30" t="s">
        <v>23</v>
      </c>
      <c r="F49" s="30" t="s">
        <v>24</v>
      </c>
      <c r="G49" s="32">
        <v>42677</v>
      </c>
      <c r="H49" s="26" t="s">
        <v>25</v>
      </c>
      <c r="I49" s="27">
        <v>240939004.09999999</v>
      </c>
      <c r="J49" s="28">
        <v>0</v>
      </c>
      <c r="K49" s="28">
        <v>122634335.5</v>
      </c>
      <c r="L49" s="28">
        <f>6651893+52542701+4918140+456399+15968277+3639397+152133</f>
        <v>84328940</v>
      </c>
      <c r="M49" s="27">
        <v>215941900</v>
      </c>
      <c r="N49" s="28">
        <v>0</v>
      </c>
      <c r="O49" s="28">
        <f>97214500+1524837</f>
        <v>98739337</v>
      </c>
      <c r="P49" s="27">
        <v>0</v>
      </c>
      <c r="Q49" s="28">
        <v>0</v>
      </c>
    </row>
    <row r="50" spans="1:17" s="41" customFormat="1" ht="15" customHeight="1">
      <c r="A50" s="14">
        <v>43</v>
      </c>
      <c r="B50" s="15" t="s">
        <v>106</v>
      </c>
      <c r="C50" s="24" t="s">
        <v>107</v>
      </c>
      <c r="D50" s="24" t="s">
        <v>108</v>
      </c>
      <c r="E50" s="24" t="s">
        <v>23</v>
      </c>
      <c r="F50" s="24" t="s">
        <v>24</v>
      </c>
      <c r="G50" s="25">
        <v>42241</v>
      </c>
      <c r="H50" s="26" t="s">
        <v>25</v>
      </c>
      <c r="I50" s="27">
        <v>193177468</v>
      </c>
      <c r="J50" s="28">
        <v>131327157</v>
      </c>
      <c r="K50" s="28">
        <v>61850311</v>
      </c>
      <c r="L50" s="28">
        <v>0</v>
      </c>
      <c r="M50" s="27">
        <f>205819550-1280000-195296-4000</f>
        <v>204340254</v>
      </c>
      <c r="N50" s="28">
        <v>132931786</v>
      </c>
      <c r="O50" s="29">
        <f>72887764-1280000-195296-4000</f>
        <v>71408468</v>
      </c>
      <c r="P50" s="27">
        <v>205819550</v>
      </c>
      <c r="Q50" s="28">
        <v>130657896</v>
      </c>
    </row>
    <row r="51" spans="1:17" s="41" customFormat="1" ht="15" customHeight="1">
      <c r="A51" s="14">
        <v>44</v>
      </c>
      <c r="B51" s="15" t="s">
        <v>106</v>
      </c>
      <c r="C51" s="24" t="s">
        <v>107</v>
      </c>
      <c r="D51" s="24" t="s">
        <v>109</v>
      </c>
      <c r="E51" s="24" t="s">
        <v>23</v>
      </c>
      <c r="F51" s="24" t="s">
        <v>24</v>
      </c>
      <c r="G51" s="25">
        <v>42241</v>
      </c>
      <c r="H51" s="26" t="s">
        <v>25</v>
      </c>
      <c r="I51" s="27">
        <v>279565686</v>
      </c>
      <c r="J51" s="28">
        <v>182463705</v>
      </c>
      <c r="K51" s="28">
        <v>97101981</v>
      </c>
      <c r="L51" s="28">
        <v>0</v>
      </c>
      <c r="M51" s="27">
        <f>297716364-21816844-1315704-166265</f>
        <v>274417551</v>
      </c>
      <c r="N51" s="28">
        <v>190442762</v>
      </c>
      <c r="O51" s="29">
        <f>107273602-21816844-1315704-47722-118543</f>
        <v>83974789</v>
      </c>
      <c r="P51" s="27">
        <v>298231708</v>
      </c>
      <c r="Q51" s="28">
        <v>189458976</v>
      </c>
    </row>
    <row r="52" spans="1:17" s="41" customFormat="1" ht="15.75" customHeight="1">
      <c r="A52" s="14">
        <v>45</v>
      </c>
      <c r="B52" s="15" t="s">
        <v>110</v>
      </c>
      <c r="C52" s="46" t="s">
        <v>111</v>
      </c>
      <c r="D52" s="31" t="s">
        <v>112</v>
      </c>
      <c r="E52" s="30" t="s">
        <v>23</v>
      </c>
      <c r="F52" s="30" t="s">
        <v>24</v>
      </c>
      <c r="G52" s="32">
        <v>42794</v>
      </c>
      <c r="H52" s="33" t="s">
        <v>25</v>
      </c>
      <c r="I52" s="27">
        <v>328971318</v>
      </c>
      <c r="J52" s="40">
        <v>0</v>
      </c>
      <c r="K52" s="40">
        <v>0</v>
      </c>
      <c r="L52" s="40">
        <f>265321600+29000000+7835434+637562</f>
        <v>302794596</v>
      </c>
      <c r="M52" s="27">
        <v>0</v>
      </c>
      <c r="N52" s="40">
        <v>0</v>
      </c>
      <c r="O52" s="34">
        <v>0</v>
      </c>
      <c r="P52" s="27">
        <v>0</v>
      </c>
      <c r="Q52" s="28">
        <v>0</v>
      </c>
    </row>
    <row r="53" spans="1:17" s="41" customFormat="1" ht="15.75" customHeight="1">
      <c r="A53" s="14">
        <v>46</v>
      </c>
      <c r="B53" s="15" t="s">
        <v>42</v>
      </c>
      <c r="C53" s="47" t="s">
        <v>111</v>
      </c>
      <c r="D53" s="47" t="s">
        <v>113</v>
      </c>
      <c r="E53" s="24" t="s">
        <v>23</v>
      </c>
      <c r="F53" s="24" t="s">
        <v>24</v>
      </c>
      <c r="G53" s="48">
        <v>42261</v>
      </c>
      <c r="H53" s="26" t="s">
        <v>25</v>
      </c>
      <c r="I53" s="27">
        <v>214693790</v>
      </c>
      <c r="J53" s="28">
        <v>122543278</v>
      </c>
      <c r="K53" s="28">
        <v>92150512</v>
      </c>
      <c r="L53" s="28">
        <v>0</v>
      </c>
      <c r="M53" s="27">
        <f>203419577-900000</f>
        <v>202519577</v>
      </c>
      <c r="N53" s="28">
        <v>92054353</v>
      </c>
      <c r="O53" s="29">
        <f>31430980+34994380+4122344+25628993+2753854+3222985</f>
        <v>102153536</v>
      </c>
      <c r="P53" s="27">
        <v>203209835</v>
      </c>
      <c r="Q53" s="28">
        <v>92027198</v>
      </c>
    </row>
    <row r="54" spans="1:17" s="41" customFormat="1" ht="15" customHeight="1">
      <c r="A54" s="14">
        <v>47</v>
      </c>
      <c r="B54" s="15" t="s">
        <v>106</v>
      </c>
      <c r="C54" s="24" t="s">
        <v>111</v>
      </c>
      <c r="D54" s="24" t="s">
        <v>114</v>
      </c>
      <c r="E54" s="24" t="s">
        <v>23</v>
      </c>
      <c r="F54" s="24" t="s">
        <v>24</v>
      </c>
      <c r="G54" s="25">
        <v>42254</v>
      </c>
      <c r="H54" s="26" t="s">
        <v>25</v>
      </c>
      <c r="I54" s="27">
        <v>272642219</v>
      </c>
      <c r="J54" s="28">
        <v>178246237</v>
      </c>
      <c r="K54" s="28">
        <v>94395982</v>
      </c>
      <c r="L54" s="28">
        <v>0</v>
      </c>
      <c r="M54" s="27">
        <f>296187758-2961878</f>
        <v>293225880</v>
      </c>
      <c r="N54" s="28">
        <v>134402201</v>
      </c>
      <c r="O54" s="29">
        <f>46375465+34190110+1404506+3000849+34875817+108853+104853+104853+104853+3786193</f>
        <v>124056352</v>
      </c>
      <c r="P54" s="27">
        <v>265038524</v>
      </c>
      <c r="Q54" s="28">
        <v>168215424</v>
      </c>
    </row>
    <row r="55" spans="1:17" s="41" customFormat="1" ht="15" customHeight="1">
      <c r="A55" s="14">
        <v>48</v>
      </c>
      <c r="B55" s="15" t="s">
        <v>74</v>
      </c>
      <c r="C55" s="24" t="s">
        <v>115</v>
      </c>
      <c r="D55" s="24" t="s">
        <v>116</v>
      </c>
      <c r="E55" s="24" t="s">
        <v>23</v>
      </c>
      <c r="F55" s="24" t="s">
        <v>24</v>
      </c>
      <c r="G55" s="25">
        <v>42191</v>
      </c>
      <c r="H55" s="26" t="s">
        <v>25</v>
      </c>
      <c r="I55" s="27">
        <v>184777897</v>
      </c>
      <c r="J55" s="28">
        <v>126579082</v>
      </c>
      <c r="K55" s="28">
        <v>53462888</v>
      </c>
      <c r="L55" s="28">
        <v>4735927</v>
      </c>
      <c r="M55" s="27">
        <v>206457456</v>
      </c>
      <c r="N55" s="28">
        <v>187688596</v>
      </c>
      <c r="O55" s="29">
        <f>2734086+2604166+4058209</f>
        <v>9396461</v>
      </c>
      <c r="P55" s="20">
        <v>206457456.07885301</v>
      </c>
      <c r="Q55" s="21">
        <v>131382018</v>
      </c>
    </row>
    <row r="56" spans="1:17" s="41" customFormat="1" ht="15" customHeight="1">
      <c r="A56" s="14">
        <v>49</v>
      </c>
      <c r="B56" s="15" t="s">
        <v>74</v>
      </c>
      <c r="C56" s="49" t="s">
        <v>115</v>
      </c>
      <c r="D56" s="49" t="s">
        <v>117</v>
      </c>
      <c r="E56" s="24" t="s">
        <v>23</v>
      </c>
      <c r="F56" s="24" t="s">
        <v>24</v>
      </c>
      <c r="G56" s="25">
        <v>42191</v>
      </c>
      <c r="H56" s="26" t="s">
        <v>25</v>
      </c>
      <c r="I56" s="27">
        <v>278631148</v>
      </c>
      <c r="J56" s="28">
        <v>171837394</v>
      </c>
      <c r="K56" s="28">
        <v>96386979</v>
      </c>
      <c r="L56" s="28">
        <v>10406775</v>
      </c>
      <c r="M56" s="27">
        <v>282343374</v>
      </c>
      <c r="N56" s="28">
        <v>256675795</v>
      </c>
      <c r="O56" s="29">
        <f>4175949+626552+5473922</f>
        <v>10276423</v>
      </c>
      <c r="P56" s="20">
        <v>282343374.32828265</v>
      </c>
      <c r="Q56" s="21">
        <v>179673056</v>
      </c>
    </row>
    <row r="57" spans="1:17" s="41" customFormat="1" ht="15" customHeight="1">
      <c r="A57" s="14">
        <v>50</v>
      </c>
      <c r="B57" s="15" t="s">
        <v>74</v>
      </c>
      <c r="C57" s="50" t="s">
        <v>118</v>
      </c>
      <c r="D57" s="50" t="s">
        <v>119</v>
      </c>
      <c r="E57" s="24" t="s">
        <v>23</v>
      </c>
      <c r="F57" s="24" t="s">
        <v>24</v>
      </c>
      <c r="G57" s="25">
        <v>42223</v>
      </c>
      <c r="H57" s="26" t="s">
        <v>25</v>
      </c>
      <c r="I57" s="51">
        <v>160382250</v>
      </c>
      <c r="J57" s="52">
        <v>119942780</v>
      </c>
      <c r="K57" s="52">
        <v>40439470</v>
      </c>
      <c r="L57" s="28">
        <v>0</v>
      </c>
      <c r="M57" s="27">
        <v>192594150</v>
      </c>
      <c r="N57" s="28">
        <v>175085591</v>
      </c>
      <c r="O57" s="29">
        <v>17508559</v>
      </c>
      <c r="P57" s="20">
        <v>192440791.26800001</v>
      </c>
      <c r="Q57" s="21">
        <v>122462322</v>
      </c>
    </row>
    <row r="58" spans="1:17" s="41" customFormat="1" ht="15" customHeight="1">
      <c r="A58" s="14">
        <v>51</v>
      </c>
      <c r="B58" s="15" t="s">
        <v>120</v>
      </c>
      <c r="C58" s="24" t="s">
        <v>118</v>
      </c>
      <c r="D58" s="24" t="s">
        <v>121</v>
      </c>
      <c r="E58" s="24" t="s">
        <v>23</v>
      </c>
      <c r="F58" s="24" t="s">
        <v>24</v>
      </c>
      <c r="G58" s="25">
        <v>42241</v>
      </c>
      <c r="H58" s="26" t="s">
        <v>25</v>
      </c>
      <c r="I58" s="51">
        <f>256454939-1000000</f>
        <v>255454939</v>
      </c>
      <c r="J58" s="52">
        <v>185174127</v>
      </c>
      <c r="K58" s="52">
        <v>70280812</v>
      </c>
      <c r="L58" s="28">
        <v>0</v>
      </c>
      <c r="M58" s="27">
        <f>277863023-5655272-26276687-131343</f>
        <v>245799721</v>
      </c>
      <c r="N58" s="28">
        <v>125028647</v>
      </c>
      <c r="O58" s="29">
        <f>152834376-5655272-26276687-131343</f>
        <v>120771074</v>
      </c>
      <c r="P58" s="27">
        <v>266395328</v>
      </c>
      <c r="Q58" s="28">
        <v>194684632</v>
      </c>
    </row>
    <row r="59" spans="1:17" s="41" customFormat="1" ht="15.75" customHeight="1">
      <c r="A59" s="53"/>
      <c r="B59" s="15" t="s">
        <v>122</v>
      </c>
      <c r="C59" s="32" t="s">
        <v>25</v>
      </c>
      <c r="D59" s="42" t="s">
        <v>25</v>
      </c>
      <c r="E59" s="32" t="s">
        <v>25</v>
      </c>
      <c r="F59" s="32" t="s">
        <v>25</v>
      </c>
      <c r="G59" s="32" t="s">
        <v>25</v>
      </c>
      <c r="H59" s="32" t="s">
        <v>25</v>
      </c>
      <c r="I59" s="51">
        <f>K59</f>
        <v>113228874</v>
      </c>
      <c r="J59" s="52">
        <v>0</v>
      </c>
      <c r="K59" s="52">
        <v>113228874</v>
      </c>
      <c r="L59" s="52">
        <v>0</v>
      </c>
      <c r="M59" s="27">
        <f>O59</f>
        <v>231390871</v>
      </c>
      <c r="N59" s="28">
        <v>0</v>
      </c>
      <c r="O59" s="54">
        <f>197987950+15000000+18402921</f>
        <v>231390871</v>
      </c>
      <c r="P59" s="27">
        <v>0</v>
      </c>
      <c r="Q59" s="28">
        <v>0</v>
      </c>
    </row>
    <row r="60" spans="1:17" ht="16.5" thickBot="1">
      <c r="B60" s="55"/>
      <c r="C60" s="56"/>
      <c r="D60" s="56"/>
      <c r="H60" s="57" t="s">
        <v>123</v>
      </c>
      <c r="I60" s="58">
        <f>SUM(I5:I59)</f>
        <v>13857684247.515665</v>
      </c>
      <c r="J60" s="59">
        <f>SUM(J5:J59)</f>
        <v>5120851000</v>
      </c>
      <c r="K60" s="59">
        <f>SUM(K5:K59)</f>
        <v>5509020511.2498074</v>
      </c>
      <c r="L60" s="60">
        <f>SUM(L5:L59)</f>
        <v>2829867049</v>
      </c>
      <c r="M60" s="58">
        <f>SUM(M5:M59)</f>
        <v>11726612430</v>
      </c>
      <c r="N60" s="61">
        <v>4788730965</v>
      </c>
      <c r="O60" s="60">
        <f>SUM(O5:O59)</f>
        <v>5109895103</v>
      </c>
      <c r="P60" s="62">
        <f>SUM(P5:P59)</f>
        <v>8032736220.127141</v>
      </c>
      <c r="Q60" s="61">
        <f>SUM(Q5:Q59)</f>
        <v>4506913848</v>
      </c>
    </row>
    <row r="61" spans="1:17">
      <c r="B61" s="55"/>
      <c r="C61" s="56"/>
      <c r="D61" s="56"/>
      <c r="I61" s="63"/>
      <c r="J61" s="64"/>
      <c r="K61" s="64"/>
      <c r="L61" s="64"/>
      <c r="M61" s="63"/>
      <c r="N61" s="64"/>
      <c r="O61" s="64"/>
    </row>
    <row r="62" spans="1:17">
      <c r="B62" s="55"/>
      <c r="C62" s="56"/>
      <c r="D62" s="56"/>
      <c r="I62" s="63"/>
      <c r="J62" s="64"/>
      <c r="K62" s="64"/>
      <c r="L62" s="64"/>
      <c r="M62" s="63"/>
      <c r="N62" s="64"/>
      <c r="O62" s="64"/>
      <c r="P62" s="65"/>
    </row>
    <row r="63" spans="1:17">
      <c r="B63" s="55"/>
      <c r="C63" s="56"/>
      <c r="D63" s="56"/>
      <c r="I63" s="63"/>
      <c r="J63" s="64"/>
      <c r="K63" s="64"/>
      <c r="L63" s="66"/>
      <c r="M63" s="63"/>
      <c r="N63" s="64"/>
      <c r="O63" s="64"/>
      <c r="P63" s="43"/>
    </row>
    <row r="64" spans="1:17">
      <c r="B64" s="55"/>
      <c r="C64" s="56"/>
      <c r="D64" s="56"/>
      <c r="I64" s="67">
        <v>2015</v>
      </c>
      <c r="J64" s="68">
        <f>+J60</f>
        <v>5120851000</v>
      </c>
      <c r="K64" s="64"/>
      <c r="L64" s="64"/>
      <c r="M64" s="63"/>
      <c r="N64" s="64"/>
      <c r="O64" s="64"/>
    </row>
    <row r="65" spans="2:15">
      <c r="B65" s="55"/>
      <c r="C65" s="56"/>
      <c r="D65" s="56"/>
      <c r="I65" s="67">
        <v>2016</v>
      </c>
      <c r="J65" s="68">
        <f>+K60+N60</f>
        <v>10297751476.249807</v>
      </c>
      <c r="K65" s="64"/>
      <c r="L65" s="64"/>
      <c r="M65" s="63"/>
      <c r="N65" s="64"/>
      <c r="O65" s="64"/>
    </row>
    <row r="66" spans="2:15">
      <c r="D66" s="56"/>
      <c r="I66" s="67">
        <v>2017</v>
      </c>
      <c r="J66" s="68">
        <f>+L60+O60+Q60</f>
        <v>12446676000</v>
      </c>
      <c r="K66" s="64"/>
      <c r="L66" s="64"/>
      <c r="M66" s="63"/>
      <c r="N66" s="64"/>
      <c r="O66" s="64"/>
    </row>
    <row r="67" spans="2:15">
      <c r="D67" s="56"/>
      <c r="I67" s="63"/>
      <c r="J67" s="64"/>
      <c r="K67" s="64"/>
      <c r="L67" s="64"/>
      <c r="M67" s="63"/>
      <c r="N67" s="64"/>
      <c r="O67" s="64"/>
    </row>
    <row r="68" spans="2:15">
      <c r="D68" s="56"/>
      <c r="I68" s="63"/>
      <c r="J68" s="64"/>
      <c r="K68" s="64"/>
      <c r="L68" s="64"/>
      <c r="M68" s="63"/>
      <c r="N68" s="64"/>
      <c r="O68" s="64"/>
    </row>
    <row r="69" spans="2:15">
      <c r="D69" s="56"/>
      <c r="I69" s="63"/>
      <c r="J69" s="64"/>
      <c r="K69" s="64"/>
      <c r="L69" s="64"/>
      <c r="M69" s="63"/>
      <c r="N69" s="64"/>
      <c r="O69" s="64"/>
    </row>
    <row r="70" spans="2:15">
      <c r="D70" s="56"/>
      <c r="I70" s="63"/>
      <c r="J70" s="64"/>
      <c r="K70" s="64"/>
      <c r="L70" s="64"/>
      <c r="M70" s="63"/>
      <c r="N70" s="64"/>
      <c r="O70" s="64"/>
    </row>
    <row r="71" spans="2:15">
      <c r="D71" s="56"/>
      <c r="I71" s="63"/>
      <c r="J71" s="64"/>
      <c r="K71" s="64"/>
      <c r="L71" s="64"/>
      <c r="M71" s="63"/>
      <c r="N71" s="64"/>
      <c r="O71" s="64"/>
    </row>
    <row r="72" spans="2:15">
      <c r="D72" s="56"/>
      <c r="I72" s="63"/>
      <c r="J72" s="64"/>
      <c r="K72" s="64"/>
      <c r="L72" s="64"/>
      <c r="M72" s="63"/>
      <c r="N72" s="64"/>
      <c r="O72" s="64"/>
    </row>
    <row r="73" spans="2:15">
      <c r="D73" s="56"/>
      <c r="I73" s="63"/>
      <c r="J73" s="64"/>
      <c r="K73" s="64"/>
      <c r="L73" s="64"/>
      <c r="M73" s="63"/>
      <c r="N73" s="64"/>
      <c r="O73" s="64"/>
    </row>
    <row r="74" spans="2:15">
      <c r="D74" s="56"/>
      <c r="I74" s="63"/>
      <c r="J74" s="64"/>
      <c r="K74" s="64"/>
      <c r="L74" s="64"/>
      <c r="M74" s="63"/>
      <c r="N74" s="64"/>
      <c r="O74" s="64"/>
    </row>
    <row r="76" spans="2:15">
      <c r="D76" s="56"/>
      <c r="I76" s="63"/>
      <c r="J76" s="64"/>
      <c r="K76" s="64"/>
      <c r="L76" s="64"/>
      <c r="M76" s="63"/>
      <c r="N76" s="64"/>
      <c r="O76" s="64"/>
    </row>
  </sheetData>
  <mergeCells count="4">
    <mergeCell ref="A1:A4"/>
    <mergeCell ref="C1:Q1"/>
    <mergeCell ref="C2:Q2"/>
    <mergeCell ref="C3:Q3"/>
  </mergeCells>
  <dataValidations count="1">
    <dataValidation allowBlank="1" showInputMessage="1" showErrorMessage="1" error="Seleccione solo un Centro" sqref="D6 D15 D22 D17:D20 D3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Bravo Astudillo</dc:creator>
  <cp:lastModifiedBy>Juan Bravo Astudillo</cp:lastModifiedBy>
  <dcterms:created xsi:type="dcterms:W3CDTF">2018-01-23T14:19:17Z</dcterms:created>
  <dcterms:modified xsi:type="dcterms:W3CDTF">2018-01-23T14:19:28Z</dcterms:modified>
</cp:coreProperties>
</file>