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315" windowWidth="11790" windowHeight="3930" tabRatio="845"/>
  </bookViews>
  <sheets>
    <sheet name="Portada" sheetId="1" r:id="rId1"/>
    <sheet name="Operadores Centros" sheetId="29" r:id="rId2"/>
  </sheets>
  <definedNames>
    <definedName name="_xlnm._FilterDatabase" localSheetId="1" hidden="1">'Operadores Centros'!$A$4:$T$60</definedName>
  </definedNames>
  <calcPr calcId="145621"/>
</workbook>
</file>

<file path=xl/calcChain.xml><?xml version="1.0" encoding="utf-8"?>
<calcChain xmlns="http://schemas.openxmlformats.org/spreadsheetml/2006/main">
  <c r="M53" i="29" l="1"/>
  <c r="T8" i="29"/>
  <c r="T9" i="29"/>
  <c r="T10" i="29"/>
  <c r="T11" i="29"/>
  <c r="T12" i="29"/>
  <c r="T14" i="29"/>
  <c r="T15" i="29"/>
  <c r="T16" i="29"/>
  <c r="T18" i="29"/>
  <c r="T19" i="29"/>
  <c r="T22" i="29"/>
  <c r="T23" i="29"/>
  <c r="T26" i="29"/>
  <c r="T27" i="29"/>
  <c r="T28" i="29"/>
  <c r="T29" i="29"/>
  <c r="T30" i="29"/>
  <c r="T31" i="29"/>
  <c r="T32" i="29"/>
  <c r="T35" i="29"/>
  <c r="T37" i="29"/>
  <c r="T41" i="29"/>
  <c r="T43" i="29"/>
  <c r="T44" i="29"/>
  <c r="T45" i="29"/>
  <c r="T49" i="29"/>
  <c r="T50" i="29"/>
  <c r="T51" i="29"/>
  <c r="T52" i="29"/>
  <c r="T53" i="29"/>
  <c r="T54" i="29"/>
  <c r="T55" i="29"/>
  <c r="T56" i="29"/>
  <c r="T57" i="29"/>
  <c r="T58" i="29"/>
  <c r="T59" i="29"/>
  <c r="T5" i="29"/>
  <c r="M6" i="29" l="1"/>
  <c r="M7" i="29"/>
  <c r="M8" i="29"/>
  <c r="M9" i="29"/>
  <c r="M11" i="29"/>
  <c r="M13" i="29"/>
  <c r="M16" i="29"/>
  <c r="M19" i="29"/>
  <c r="M20" i="29"/>
  <c r="M21" i="29"/>
  <c r="M24" i="29"/>
  <c r="M25" i="29"/>
  <c r="M28" i="29"/>
  <c r="M33" i="29"/>
  <c r="M34" i="29"/>
  <c r="M36" i="29"/>
  <c r="M38" i="29"/>
  <c r="M40" i="29"/>
  <c r="M42" i="29"/>
  <c r="M43" i="29"/>
  <c r="M44" i="29"/>
  <c r="M46" i="29"/>
  <c r="M47" i="29"/>
  <c r="M48" i="29"/>
  <c r="M50" i="29"/>
  <c r="M51" i="29"/>
  <c r="M54" i="29"/>
  <c r="M55" i="29"/>
  <c r="M56" i="29"/>
  <c r="M57" i="29"/>
  <c r="M5" i="29"/>
  <c r="Q6" i="29"/>
  <c r="Q8" i="29"/>
  <c r="Q9" i="29"/>
  <c r="Q12" i="29"/>
  <c r="Q57" i="29"/>
  <c r="O60" i="29" l="1"/>
  <c r="N51" i="29" l="1"/>
  <c r="N34" i="29"/>
  <c r="N33" i="29"/>
  <c r="N21" i="29"/>
  <c r="I58" i="29"/>
  <c r="M58" i="29" s="1"/>
  <c r="L31" i="29"/>
  <c r="L30" i="29"/>
  <c r="L35" i="29"/>
  <c r="P34" i="29"/>
  <c r="S34" i="29"/>
  <c r="T34" i="29" s="1"/>
  <c r="P33" i="29"/>
  <c r="L32" i="29"/>
  <c r="M32" i="29" s="1"/>
  <c r="P31" i="29"/>
  <c r="P29" i="29"/>
  <c r="P28" i="29"/>
  <c r="L27" i="29"/>
  <c r="M27" i="29" s="1"/>
  <c r="P27" i="29"/>
  <c r="P26" i="29"/>
  <c r="L26" i="29"/>
  <c r="M26" i="29" s="1"/>
  <c r="Q33" i="29" l="1"/>
  <c r="Q34" i="29"/>
  <c r="P25" i="29"/>
  <c r="S25" i="29"/>
  <c r="P24" i="29"/>
  <c r="S24" i="29"/>
  <c r="T24" i="29" s="1"/>
  <c r="L23" i="29"/>
  <c r="P23" i="29"/>
  <c r="L22" i="29"/>
  <c r="M22" i="29" s="1"/>
  <c r="N38" i="29"/>
  <c r="P38" i="29"/>
  <c r="S38" i="29"/>
  <c r="T38" i="29" s="1"/>
  <c r="L37" i="29"/>
  <c r="M37" i="29" s="1"/>
  <c r="P36" i="29"/>
  <c r="S42" i="29"/>
  <c r="T42" i="29" s="1"/>
  <c r="P42" i="29"/>
  <c r="L41" i="29"/>
  <c r="P40" i="29"/>
  <c r="P46" i="29"/>
  <c r="L45" i="29"/>
  <c r="N44" i="29"/>
  <c r="P44" i="29"/>
  <c r="P43" i="29"/>
  <c r="N48" i="29"/>
  <c r="P48" i="29"/>
  <c r="S48" i="29"/>
  <c r="T48" i="29" s="1"/>
  <c r="S47" i="29"/>
  <c r="T47" i="29" s="1"/>
  <c r="S46" i="29"/>
  <c r="L49" i="29"/>
  <c r="P49" i="29"/>
  <c r="P51" i="29"/>
  <c r="N50" i="29"/>
  <c r="P50" i="29"/>
  <c r="P54" i="29"/>
  <c r="P53" i="29"/>
  <c r="L52" i="29"/>
  <c r="P56" i="29"/>
  <c r="P55" i="29"/>
  <c r="N58" i="29"/>
  <c r="P58" i="29"/>
  <c r="P59" i="29"/>
  <c r="P21" i="29"/>
  <c r="S21" i="29"/>
  <c r="T21" i="29" s="1"/>
  <c r="N20" i="29"/>
  <c r="P20" i="29"/>
  <c r="N19" i="29"/>
  <c r="P19" i="29"/>
  <c r="N17" i="29"/>
  <c r="N7" i="29"/>
  <c r="P17" i="29"/>
  <c r="N16" i="29"/>
  <c r="P16" i="29"/>
  <c r="L15" i="29"/>
  <c r="M15" i="29" s="1"/>
  <c r="N14" i="29"/>
  <c r="P14" i="29"/>
  <c r="N11" i="29"/>
  <c r="P11" i="29"/>
  <c r="N13" i="29"/>
  <c r="P13" i="29"/>
  <c r="S13" i="29"/>
  <c r="Q21" i="29" l="1"/>
  <c r="Q11" i="29"/>
  <c r="Q17" i="29"/>
  <c r="Q48" i="29"/>
  <c r="Q16" i="29"/>
  <c r="Q58" i="29"/>
  <c r="Q13" i="29"/>
  <c r="Q14" i="29"/>
  <c r="Q19" i="29"/>
  <c r="Q55" i="29"/>
  <c r="Q38" i="29"/>
  <c r="Q51" i="29"/>
  <c r="Q7" i="29"/>
  <c r="Q56" i="29"/>
  <c r="Q44" i="29"/>
  <c r="Q50" i="29"/>
  <c r="N59" i="29"/>
  <c r="L12" i="29"/>
  <c r="I12" i="29"/>
  <c r="N54" i="29"/>
  <c r="N53" i="29"/>
  <c r="P47" i="29"/>
  <c r="N47" i="29"/>
  <c r="N46" i="29"/>
  <c r="N43" i="29"/>
  <c r="N42" i="29"/>
  <c r="N36" i="29"/>
  <c r="I23" i="29"/>
  <c r="M23" i="29" s="1"/>
  <c r="N28" i="29"/>
  <c r="N25" i="29"/>
  <c r="N24" i="29"/>
  <c r="I18" i="29"/>
  <c r="M18" i="29" s="1"/>
  <c r="N5" i="29"/>
  <c r="P5" i="29"/>
  <c r="S33" i="29"/>
  <c r="T33" i="29" s="1"/>
  <c r="S6" i="29"/>
  <c r="T6" i="29" s="1"/>
  <c r="T60" i="29" l="1"/>
  <c r="Q36" i="29"/>
  <c r="Q42" i="29"/>
  <c r="Q5" i="29"/>
  <c r="Q28" i="29"/>
  <c r="Q43" i="29"/>
  <c r="Q53" i="29"/>
  <c r="Q59" i="29"/>
  <c r="Q46" i="29"/>
  <c r="Q47" i="29"/>
  <c r="P60" i="29"/>
  <c r="I17" i="29"/>
  <c r="M17" i="29" s="1"/>
  <c r="I14" i="29"/>
  <c r="M14" i="29" s="1"/>
  <c r="Q60" i="29" l="1"/>
  <c r="N60" i="29"/>
  <c r="J60" i="29"/>
  <c r="J64" i="29" s="1"/>
  <c r="K60" i="29"/>
  <c r="J65" i="29" s="1"/>
  <c r="L60" i="29"/>
  <c r="I59" i="29"/>
  <c r="M59" i="29" l="1"/>
  <c r="M60" i="29" s="1"/>
  <c r="J67" i="29" s="1"/>
  <c r="I60" i="29"/>
  <c r="S60" i="29"/>
  <c r="R60" i="29"/>
  <c r="J66" i="29" l="1"/>
</calcChain>
</file>

<file path=xl/sharedStrings.xml><?xml version="1.0" encoding="utf-8"?>
<sst xmlns="http://schemas.openxmlformats.org/spreadsheetml/2006/main" count="396" uniqueCount="151">
  <si>
    <t>No aplica</t>
  </si>
  <si>
    <t>Región</t>
  </si>
  <si>
    <t>2. Nombre Servicio o Programa</t>
  </si>
  <si>
    <t>N°</t>
  </si>
  <si>
    <t>3. Observaciones</t>
  </si>
  <si>
    <t>Nombre completo</t>
  </si>
  <si>
    <t>Tipo de acto</t>
  </si>
  <si>
    <t>Denominación de acto</t>
  </si>
  <si>
    <t>Fecha de acto</t>
  </si>
  <si>
    <t>Número de acto</t>
  </si>
  <si>
    <t>1. Ley de Presupuesto: Subtítulo / Item / Asignación</t>
  </si>
  <si>
    <t>Valparaiso</t>
  </si>
  <si>
    <t>Fuente legal</t>
  </si>
  <si>
    <t>Fecha de publicación o dictación
(dd/mm/aaaa)</t>
  </si>
  <si>
    <t>Enlace a la publicación o archivo correspondiente</t>
  </si>
  <si>
    <t>Unidad/órgano interno/dependencia que lo gestiona</t>
  </si>
  <si>
    <t>Período de aplicación o de vigencia
(dd/mm/aaaa)</t>
  </si>
  <si>
    <t>Unidad monetaria</t>
  </si>
  <si>
    <t>Periodo o plazo de postulación</t>
  </si>
  <si>
    <t>Enlace a mayor información</t>
  </si>
  <si>
    <t>www.sercotec.cl</t>
  </si>
  <si>
    <t>Pesos</t>
  </si>
  <si>
    <t>http://www.sercotec.cl/</t>
  </si>
  <si>
    <t>Gerencia Centros de Desarrollo de Negocios</t>
  </si>
  <si>
    <t>Centros de Desarrollo de Negocios</t>
  </si>
  <si>
    <t>El objetivo de un Centro de Desarrollo de Negocios es contribuir al desarrollo de las capacidades empresariales y de negocios de las EMT y emprendedores del país a través de una oferta integral y efectiva de servicios. 
Cada Centro deberá aspirar a ser reconocido como un referente en la entrega de servicios de alto valor para el segmento de EMT y emprendedores, en adelante “clientes”, contribuyendo a la viabilidad y sostenibilidad de dichas empresas y sus trabajadores.
Su misión será promover el crecimiento, la productividad, las utilidades-rentabilidad y la innovación en las EMT y emprendedores, acompañándoles en sus desafíos de desarrollo, a través de incorporar mejoras en su gestión y aplicación del instrumental necesario de fomento productivo y financiero que permita su despliegue en los mercados.
Sercotec creará un Modelo de Operación Agenciado del Programa Desarrollo Empresarial en los territorios, donde entes calificados denominados Agentes Operadores Intermediarios de Centros de Desarrollo de Negocios, administrarán los recursos traspasados desde la Institución, para la operación de esta Red de Centros en el marco de la regulación vigente.  
Para lo anterior, se hace necesario convocar a concurso público para la selección de operadores de Centros de Desarrollo de Negocios, para cautelar la correcta operación de la Red de Centros.</t>
  </si>
  <si>
    <t>Las entidades postulantes a operar los Centros, deberán ser personas jurídicas de derecho público o privado (se excluyen personas naturales, comunidades, sucesiones y sociedades de hecho), que cumplan con los requisitos de acceso al concurso público establecidos en las bases del llamado, y que en virtud de la calificación obtenida en los criterios de evaluación podrán ser  seleccionadas para suscribir convenios de asignación de fondos de presupuesto Sercotec (Convenio de Agenciamiento de Centros) para la ejecución del programa de operación del Centro.</t>
  </si>
  <si>
    <t>Nómina operadores seleccionados y formalizados</t>
  </si>
  <si>
    <t>Enlace a nómina  operadores seleccionados y formalizados</t>
  </si>
  <si>
    <t>04. III-Atacama</t>
  </si>
  <si>
    <t>Copiapo</t>
  </si>
  <si>
    <t>06. V-Valparaíso</t>
  </si>
  <si>
    <t>07. RM-Metropolitana</t>
  </si>
  <si>
    <t>Melipilla</t>
  </si>
  <si>
    <t>San Bernardo</t>
  </si>
  <si>
    <t>Santiago</t>
  </si>
  <si>
    <t>08. VI-O’Higgins</t>
  </si>
  <si>
    <t>Santa Cruz</t>
  </si>
  <si>
    <t>09. VII-Maule</t>
  </si>
  <si>
    <t>Talca</t>
  </si>
  <si>
    <t>10. VIII-Biobio</t>
  </si>
  <si>
    <t>Chillán</t>
  </si>
  <si>
    <t>Corporación para la Competitividad e Inovación de la Región de Atacama</t>
  </si>
  <si>
    <t>Cámara Regional de Comercio y la Producción de Valparaíso A.G.</t>
  </si>
  <si>
    <t>Corporación de Desarrollo Social del Sector Rural</t>
  </si>
  <si>
    <t>Corporación Construyendo Mis Sueños</t>
  </si>
  <si>
    <t>Corporación Santiago Innova</t>
  </si>
  <si>
    <t>Consultorías, Asesorías y Eventos Francisco Javier Arenas Hernandez EIRL</t>
  </si>
  <si>
    <t>Asesorías e Ingeniería Corporativa Limitada INGEPLUS</t>
  </si>
  <si>
    <t>03. II-Antofagasta</t>
  </si>
  <si>
    <t>Antofagasta</t>
  </si>
  <si>
    <t>Vallenar</t>
  </si>
  <si>
    <t>05. IV-Coquimbo</t>
  </si>
  <si>
    <t>La Serena</t>
  </si>
  <si>
    <t>Cañete</t>
  </si>
  <si>
    <t>11. IX-Araucanía</t>
  </si>
  <si>
    <t>Temuco</t>
  </si>
  <si>
    <t>15. XII-Magallanes</t>
  </si>
  <si>
    <t>Punta Arenas</t>
  </si>
  <si>
    <t>Corparauco</t>
  </si>
  <si>
    <t>Universidad de la Frontera</t>
  </si>
  <si>
    <t>Universidad de Magallanes</t>
  </si>
  <si>
    <t xml:space="preserve">Selección de Operador de Centro </t>
  </si>
  <si>
    <t xml:space="preserve">Selección </t>
  </si>
  <si>
    <t>Arica Centro</t>
  </si>
  <si>
    <t>Iquique</t>
  </si>
  <si>
    <t>Quillota</t>
  </si>
  <si>
    <t>Universidad de Tarapacá</t>
  </si>
  <si>
    <t>Fundación para el Desarrollo Universidad de Tarapacá</t>
  </si>
  <si>
    <t>Pontificia Universidad Católica de Valparaíso</t>
  </si>
  <si>
    <t>Cauquenes</t>
  </si>
  <si>
    <t>Angol</t>
  </si>
  <si>
    <t>La Unión</t>
  </si>
  <si>
    <t>Valdivia</t>
  </si>
  <si>
    <t>Universidad Católica del Maule</t>
  </si>
  <si>
    <t>Universidad Arturo Prat</t>
  </si>
  <si>
    <t>Universidad Austral de Chile</t>
  </si>
  <si>
    <t>Puerto Montt</t>
  </si>
  <si>
    <t>Aysén</t>
  </si>
  <si>
    <t>Coyhaique</t>
  </si>
  <si>
    <t>Puerto Natales</t>
  </si>
  <si>
    <t>Universidad Tecnológica de Chile INACAP</t>
  </si>
  <si>
    <t>01. XI-Arica y Parinacota</t>
  </si>
  <si>
    <t>02. I-Tarapacá</t>
  </si>
  <si>
    <t>12. XIV-Los Ríos</t>
  </si>
  <si>
    <t>13. X-Los Lagos</t>
  </si>
  <si>
    <t>14. XI-Aysén</t>
  </si>
  <si>
    <t>Osorno</t>
  </si>
  <si>
    <t>Universidad Central</t>
  </si>
  <si>
    <t>Independencia</t>
  </si>
  <si>
    <t>La Florida</t>
  </si>
  <si>
    <t>FUNDES Chile S.A.</t>
  </si>
  <si>
    <t>Calama</t>
  </si>
  <si>
    <t>Ovalle</t>
  </si>
  <si>
    <t>Curico</t>
  </si>
  <si>
    <t>Rancagua</t>
  </si>
  <si>
    <t>Pozo Almonte</t>
  </si>
  <si>
    <t>Los Angeles</t>
  </si>
  <si>
    <t>San Antonio</t>
  </si>
  <si>
    <t>Universidad de Valparaíso</t>
  </si>
  <si>
    <t>Universiddad de Concepción</t>
  </si>
  <si>
    <t>Corporación INCUBA2</t>
  </si>
  <si>
    <t>Monto con cargo  Ley de Presupuesto año 2015</t>
  </si>
  <si>
    <t>Monto con cargo Ley de Presupuesto año 2016</t>
  </si>
  <si>
    <t>Recursos FNDR</t>
  </si>
  <si>
    <t>TOTAL</t>
  </si>
  <si>
    <t>Estación Central</t>
  </si>
  <si>
    <t>Ñuñoa</t>
  </si>
  <si>
    <t>Linares</t>
  </si>
  <si>
    <t>Concepción</t>
  </si>
  <si>
    <t>Villarrica</t>
  </si>
  <si>
    <t>Corporación Construyendo mis Sueños</t>
  </si>
  <si>
    <t>Fundes Chile S.P.A.</t>
  </si>
  <si>
    <t>Universidad Santo Tomás</t>
  </si>
  <si>
    <t>Fundación Technoserve Chile</t>
  </si>
  <si>
    <t>Monto con cargo Ley de Presupuesto año 2017</t>
  </si>
  <si>
    <t>Illapel</t>
  </si>
  <si>
    <t>Las Condes</t>
  </si>
  <si>
    <t>Maipú</t>
  </si>
  <si>
    <t>Quilicura</t>
  </si>
  <si>
    <t>Talagante</t>
  </si>
  <si>
    <t>San Fernando</t>
  </si>
  <si>
    <t xml:space="preserve">Presupuesto Sercotec Primer Acuerdo de Desempeño </t>
  </si>
  <si>
    <t>Presupuesto Sercotec Segundo Acuerdo de Desempeño</t>
  </si>
  <si>
    <t>Soporte Centros y Servicios Virtuales</t>
  </si>
  <si>
    <t xml:space="preserve">Centro </t>
  </si>
  <si>
    <t>Nombre del programa o beneficio</t>
  </si>
  <si>
    <t>Objetivo del subsidio o beneficio</t>
  </si>
  <si>
    <t>Monto total asignado al programa o beneficio</t>
  </si>
  <si>
    <t>Criterio de acceso</t>
  </si>
  <si>
    <t xml:space="preserve">Enlace a los requisitos y antecedentes para postular
</t>
  </si>
  <si>
    <t>Colina</t>
  </si>
  <si>
    <t>Pudahuel</t>
  </si>
  <si>
    <t>Centro De Servicios Universidad Central de Chile S.A.</t>
  </si>
  <si>
    <t>Aconcagua</t>
  </si>
  <si>
    <t>Puente Alto</t>
  </si>
  <si>
    <t>Chiloé</t>
  </si>
  <si>
    <t>Fundación de Desarrollo Educacional y Tecnológico La Araucanía</t>
  </si>
  <si>
    <t>Resolución</t>
  </si>
  <si>
    <t>Corporación de Desarrollo Social del Sector Rural (Convenio Transitorio)</t>
  </si>
  <si>
    <t>24.01.134</t>
  </si>
  <si>
    <t>Programa de Desarrollo Empresarial en los Territorios</t>
  </si>
  <si>
    <t>Corporación para el Desarrollo Productivo de la II Región (Cierre Operación)</t>
  </si>
  <si>
    <t xml:space="preserve">Universidad Tecnológica de Chile INACAP </t>
  </si>
  <si>
    <t>Presupuesto Sercotec Tercer Acuerdo de Desempeño</t>
  </si>
  <si>
    <t>Primer llamado a concurso: 
5 de enero al 16 de marzo del 2015
Segundo llamado a concurso:  
21 de agosto al 25 de septiembre del 2015
Tercer llamado a concurso:
13 de junio al 25 de julio del 2016
Cuarto llamado a concurso:
20 de septiembre al 2 de noviembre del 2016
Quinto llamado a concurso:
4 al 22 de septiembre del 2017</t>
  </si>
  <si>
    <t>A continuación se detallan los criterios de evaluación del Primer concurso:
1. Postulación conjunta
2. Certificado  de Acreditación para Operadores de Centros
3. Capacidad técnica y experiencia de la entidad postulante, y equipo de trabajo
4. Propuesta técnica
5. Propuesta económica
6. Ubicación, radio de acción del Centro y articulación territorial: accesibilidad, visibilidad, cercanía a actores claves y cobertura de territorio a ser atendido.
7. Infraestructura
8. Valor agregado de la propuesta
Criterios de evaluación del segundo concurso:
1.  Propuesta técnica
2. Propuesta económica
3. Experiencia de la entidad postulante y equipo de trabajo
4. Ubicación e infraestructura
5. Valor agregado
Criterios de evaluación del tercer y cuarto concurso:
1.  Propuesta técnica
2. Porcentaje de aportes de cofinanciamiento por el operador
3. Propuesta económica
4. Experiencia de la entidad postulante y equipo de trabajo
5. Ubicación e infraestructura
6. Valor agregado
Criterios de evaluación del quinto concurso:
1.  Propuesta técnica
2. Porcentaje de aportes de cofinanciamiento por el operador
3. Propuesta económica
4. Experiencia de la entidad postulante 
5. Valor agregado</t>
  </si>
  <si>
    <t>01-01-2015 a 
31-12-2015
01-01-2016 a 
31-12-2016
01-01-2017 a 
31-12-2017
01-01-2018 a 
31-12-2018</t>
  </si>
  <si>
    <t>Monto con cargo Ley de Presupuesto año 2018</t>
  </si>
  <si>
    <t>$ 5,120,851 año 2015
$ 10,167,729 
año 2016
$ 12,446,676 año 2017
$ 13,485,564 año 2018</t>
  </si>
  <si>
    <t>Operadores formalizados al 30 de abril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</si>
</sst>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quot;$&quot;* #,##0_ ;_ &quot;$&quot;* \-#,##0_ ;_ &quot;$&quot;* &quot;-&quot;_ ;_ @_ "/>
    <numFmt numFmtId="165" formatCode="_ * #,##0_ ;_ * \-#,##0_ ;_ * &quot;-&quot;_ ;_ @_ "/>
    <numFmt numFmtId="166" formatCode="_-* #,##0.00\ &quot;€&quot;_-;\-* #,##0.00\ &quot;€&quot;_-;_-* &quot;-&quot;??\ &quot;€&quot;_-;_-@_-"/>
    <numFmt numFmtId="167" formatCode="_-* #,##0.00\ _€_-;\-* #,##0.00\ _€_-;_-* &quot;-&quot;??\ _€_-;_-@_-"/>
    <numFmt numFmtId="168" formatCode="&quot;$&quot;\ #,##0"/>
    <numFmt numFmtId="169" formatCode="_-&quot;$&quot;* #,##0.00_-;\-&quot;$&quot;* #,##0.00_-;_-&quot;$&quot;* &quot;-&quot;??_-;_-@_-"/>
    <numFmt numFmtId="170" formatCode="_(&quot;$b&quot;\ * #,##0.00_);_(&quot;$b&quot;\ * \(#,##0.00\);_(&quot;$b&quot;\ * &quot;-&quot;??_);_(@_)"/>
    <numFmt numFmtId="171" formatCode="0.0%"/>
    <numFmt numFmtId="172" formatCode="_(* #,##0.00_);_(* \(#,##0.00\);_(* &quot;-&quot;??_);_(@_)"/>
    <numFmt numFmtId="173" formatCode="_(&quot;$&quot;* #,##0.00_);_(&quot;$&quot;* \(#,##0.00\);_(&quot;$&quot;* &quot;-&quot;??_);_(@_)"/>
    <numFmt numFmtId="174" formatCode="_-[$$-340A]\ * #,##0_-;\-[$$-340A]\ * #,##0_-;_-[$$-340A]\ * &quot;-&quot;??_-;_-@_-"/>
    <numFmt numFmtId="175" formatCode="_-* #,##0_-;\-* #,##0_-;_-* &quot;-&quot;??_-;_-@_-"/>
    <numFmt numFmtId="176" formatCode="_(* #,##0_);_(* \(#,##0\);_(* &quot;-&quot;_);_(@_)"/>
    <numFmt numFmtId="177" formatCode="#,##0.0"/>
    <numFmt numFmtId="178" formatCode="#,##0.00\ &quot;Pta&quot;;\-#,##0.00\ &quot;Pta&quot;"/>
    <numFmt numFmtId="179" formatCode="#,##0\ &quot;Pta&quot;;\-#,##0\ &quot;Pta&quot;"/>
    <numFmt numFmtId="180" formatCode="_-[$€-2]\ * #,##0.00_-;\-[$€-2]\ * #,##0.00_-;_-[$€-2]\ * &quot;-&quot;??_-"/>
    <numFmt numFmtId="181" formatCode="[$-1010409]General"/>
  </numFmts>
  <fonts count="66">
    <font>
      <sz val="11"/>
      <color theme="1"/>
      <name val="Calibri"/>
      <family val="2"/>
      <scheme val="minor"/>
    </font>
    <font>
      <sz val="10"/>
      <name val="Arial"/>
      <family val="2"/>
    </font>
    <font>
      <u/>
      <sz val="10"/>
      <color indexed="12"/>
      <name val="Arial"/>
      <family val="2"/>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11"/>
      <color theme="10"/>
      <name val="Calibri"/>
      <family val="2"/>
      <scheme val="minor"/>
    </font>
    <font>
      <sz val="11"/>
      <color rgb="FF000000"/>
      <name val="Calibri"/>
      <family val="2"/>
    </font>
    <font>
      <b/>
      <sz val="11"/>
      <color indexed="62"/>
      <name val="Calibri"/>
      <family val="2"/>
    </font>
    <font>
      <b/>
      <sz val="15"/>
      <color indexed="62"/>
      <name val="Calibri"/>
      <family val="2"/>
    </font>
    <font>
      <b/>
      <sz val="13"/>
      <color indexed="62"/>
      <name val="Calibri"/>
      <family val="2"/>
    </font>
    <font>
      <b/>
      <sz val="18"/>
      <color indexed="62"/>
      <name val="Cambria"/>
      <family val="2"/>
    </font>
    <font>
      <sz val="10"/>
      <color theme="1"/>
      <name val="Calibri"/>
      <family val="2"/>
      <scheme val="minor"/>
    </font>
    <font>
      <sz val="8"/>
      <color theme="1"/>
      <name val="Calibri"/>
      <family val="2"/>
      <scheme val="minor"/>
    </font>
    <font>
      <sz val="7.5"/>
      <color theme="1"/>
      <name val="Arial"/>
      <family val="2"/>
    </font>
    <font>
      <b/>
      <sz val="8"/>
      <color theme="0"/>
      <name val="gobCL"/>
      <family val="3"/>
    </font>
    <font>
      <sz val="8"/>
      <color theme="1"/>
      <name val="gobCL"/>
      <family val="3"/>
    </font>
    <font>
      <b/>
      <sz val="8"/>
      <name val="gobCL"/>
      <family val="3"/>
    </font>
    <font>
      <sz val="8"/>
      <name val="gobCL"/>
      <family val="3"/>
    </font>
    <font>
      <u/>
      <sz val="8"/>
      <color indexed="12"/>
      <name val="gobCL"/>
      <family val="3"/>
    </font>
    <font>
      <u/>
      <sz val="8"/>
      <color indexed="12"/>
      <name val="Arial"/>
      <family val="2"/>
    </font>
    <font>
      <sz val="11"/>
      <color theme="1"/>
      <name val="gobCL"/>
      <family val="3"/>
    </font>
    <font>
      <b/>
      <sz val="11"/>
      <color theme="1"/>
      <name val="gobCL"/>
      <family val="3"/>
    </font>
    <font>
      <b/>
      <sz val="7.5"/>
      <color theme="1"/>
      <name val="Arial"/>
      <family val="2"/>
    </font>
    <font>
      <sz val="11"/>
      <color theme="1"/>
      <name val="Arial"/>
      <family val="2"/>
    </font>
    <font>
      <b/>
      <sz val="10"/>
      <color theme="1"/>
      <name val="Arial"/>
      <family val="2"/>
    </font>
    <font>
      <sz val="10"/>
      <color theme="1"/>
      <name val="Arial"/>
      <family val="2"/>
    </font>
    <font>
      <b/>
      <sz val="18"/>
      <name val="Arial"/>
      <family val="2"/>
    </font>
    <font>
      <b/>
      <sz val="12"/>
      <name val="Arial"/>
      <family val="2"/>
    </font>
    <font>
      <sz val="10"/>
      <color indexed="8"/>
      <name val="MS Sans Serif"/>
      <family val="2"/>
    </font>
    <font>
      <sz val="10"/>
      <name val="Courier"/>
      <family val="3"/>
    </font>
    <font>
      <sz val="12"/>
      <name val="Courier"/>
      <family val="3"/>
    </font>
    <font>
      <sz val="8.0500000000000007"/>
      <name val="Times New Roman"/>
      <family val="1"/>
    </font>
    <font>
      <sz val="10"/>
      <name val="Calibri"/>
      <family val="2"/>
      <scheme val="minor"/>
    </font>
  </fonts>
  <fills count="6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54"/>
      </patternFill>
    </fill>
    <fill>
      <patternFill patternType="solid">
        <fgColor theme="4" tint="0.59999389629810485"/>
        <bgColor indexed="64"/>
      </patternFill>
    </fill>
    <fill>
      <patternFill patternType="solid">
        <fgColor theme="4"/>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564">
    <xf numFmtId="0" fontId="0" fillId="0" borderId="0"/>
    <xf numFmtId="0" fontId="1" fillId="0" borderId="0"/>
    <xf numFmtId="0" fontId="3" fillId="0" borderId="0"/>
    <xf numFmtId="0" fontId="2" fillId="0" borderId="0" applyNumberFormat="0" applyFill="0" applyBorder="0" applyAlignment="0" applyProtection="0">
      <alignment vertical="top"/>
      <protection locked="0"/>
    </xf>
    <xf numFmtId="0" fontId="1" fillId="0" borderId="0"/>
    <xf numFmtId="169"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4" fillId="9"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33" borderId="0" applyNumberFormat="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0" fontId="4" fillId="0" borderId="0"/>
    <xf numFmtId="9" fontId="1" fillId="0" borderId="0" applyFont="0" applyFill="0" applyBorder="0" applyAlignment="0" applyProtection="0"/>
    <xf numFmtId="169" fontId="1"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2" fillId="42" borderId="0" applyNumberFormat="0" applyBorder="0" applyAlignment="0" applyProtection="0"/>
    <xf numFmtId="0" fontId="24" fillId="48" borderId="11" applyNumberFormat="0" applyAlignment="0" applyProtection="0"/>
    <xf numFmtId="0" fontId="21" fillId="43" borderId="0" applyNumberFormat="0" applyBorder="0" applyAlignment="0" applyProtection="0"/>
    <xf numFmtId="0" fontId="22" fillId="45" borderId="0" applyNumberFormat="0" applyBorder="0" applyAlignment="0" applyProtection="0"/>
    <xf numFmtId="0" fontId="21" fillId="40" borderId="0" applyNumberFormat="0" applyBorder="0" applyAlignment="0" applyProtection="0"/>
    <xf numFmtId="0" fontId="1" fillId="0" borderId="0"/>
    <xf numFmtId="0" fontId="22" fillId="45" borderId="0" applyNumberFormat="0" applyBorder="0" applyAlignment="0" applyProtection="0"/>
    <xf numFmtId="0" fontId="22" fillId="51" borderId="0" applyNumberFormat="0" applyBorder="0" applyAlignment="0" applyProtection="0"/>
    <xf numFmtId="0" fontId="1" fillId="0" borderId="0"/>
    <xf numFmtId="0" fontId="25" fillId="49" borderId="12" applyNumberFormat="0" applyAlignment="0" applyProtection="0"/>
    <xf numFmtId="0" fontId="21" fillId="38" borderId="0" applyNumberFormat="0" applyBorder="0" applyAlignment="0" applyProtection="0"/>
    <xf numFmtId="0" fontId="1" fillId="0" borderId="0"/>
    <xf numFmtId="43" fontId="1" fillId="0" borderId="0" applyFont="0" applyFill="0" applyBorder="0" applyAlignment="0" applyProtection="0"/>
    <xf numFmtId="0" fontId="21" fillId="42" borderId="0" applyNumberFormat="0" applyBorder="0" applyAlignment="0" applyProtection="0"/>
    <xf numFmtId="0" fontId="1" fillId="0" borderId="0"/>
    <xf numFmtId="43" fontId="1" fillId="0" borderId="0" applyFont="0" applyFill="0" applyBorder="0" applyAlignment="0" applyProtection="0"/>
    <xf numFmtId="0" fontId="21" fillId="39" borderId="0" applyNumberFormat="0" applyBorder="0" applyAlignment="0" applyProtection="0"/>
    <xf numFmtId="0" fontId="21" fillId="40" borderId="0" applyNumberFormat="0" applyBorder="0" applyAlignment="0" applyProtection="0"/>
    <xf numFmtId="0" fontId="30" fillId="54" borderId="0" applyNumberFormat="0" applyBorder="0" applyAlignment="0" applyProtection="0"/>
    <xf numFmtId="0" fontId="22" fillId="46" borderId="0" applyNumberFormat="0" applyBorder="0" applyAlignment="0" applyProtection="0"/>
    <xf numFmtId="0" fontId="26" fillId="0" borderId="13" applyNumberFormat="0" applyFill="0" applyAlignment="0" applyProtection="0"/>
    <xf numFmtId="43" fontId="1" fillId="0" borderId="0" applyFont="0" applyFill="0" applyBorder="0" applyAlignment="0" applyProtection="0"/>
    <xf numFmtId="0" fontId="22" fillId="52" borderId="0" applyNumberFormat="0" applyBorder="0" applyAlignment="0" applyProtection="0"/>
    <xf numFmtId="0" fontId="1" fillId="0" borderId="0"/>
    <xf numFmtId="0" fontId="21" fillId="37" borderId="0" applyNumberFormat="0" applyBorder="0" applyAlignment="0" applyProtection="0"/>
    <xf numFmtId="0" fontId="23" fillId="36" borderId="0" applyNumberFormat="0" applyBorder="0" applyAlignment="0" applyProtection="0"/>
    <xf numFmtId="0" fontId="21" fillId="37" borderId="0" applyNumberFormat="0" applyBorder="0" applyAlignment="0" applyProtection="0"/>
    <xf numFmtId="0" fontId="22" fillId="46" borderId="0" applyNumberFormat="0" applyBorder="0" applyAlignment="0" applyProtection="0"/>
    <xf numFmtId="167" fontId="4"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22" fillId="41" borderId="0" applyNumberFormat="0" applyBorder="0" applyAlignment="0" applyProtection="0"/>
    <xf numFmtId="0" fontId="21" fillId="36" borderId="0" applyNumberFormat="0" applyBorder="0" applyAlignment="0" applyProtection="0"/>
    <xf numFmtId="0" fontId="22" fillId="53" borderId="0" applyNumberFormat="0" applyBorder="0" applyAlignment="0" applyProtection="0"/>
    <xf numFmtId="0" fontId="28" fillId="39" borderId="11" applyNumberFormat="0" applyAlignment="0" applyProtection="0"/>
    <xf numFmtId="0" fontId="22" fillId="47" borderId="0" applyNumberFormat="0" applyBorder="0" applyAlignment="0" applyProtection="0"/>
    <xf numFmtId="43" fontId="1" fillId="0" borderId="0" applyFont="0" applyFill="0" applyBorder="0" applyAlignment="0" applyProtection="0"/>
    <xf numFmtId="0" fontId="22" fillId="50" borderId="0" applyNumberFormat="0" applyBorder="0" applyAlignment="0" applyProtection="0"/>
    <xf numFmtId="0" fontId="21" fillId="41" borderId="0" applyNumberFormat="0" applyBorder="0" applyAlignment="0" applyProtection="0"/>
    <xf numFmtId="0" fontId="1" fillId="55" borderId="14" applyNumberFormat="0" applyFont="0" applyAlignment="0" applyProtection="0"/>
    <xf numFmtId="0" fontId="22" fillId="44" borderId="0" applyNumberFormat="0" applyBorder="0" applyAlignment="0" applyProtection="0"/>
    <xf numFmtId="0" fontId="29" fillId="35" borderId="0" applyNumberFormat="0" applyBorder="0" applyAlignment="0" applyProtection="0"/>
    <xf numFmtId="0" fontId="31" fillId="48" borderId="15"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6" applyNumberFormat="0" applyFill="0" applyAlignment="0" applyProtection="0"/>
    <xf numFmtId="0" fontId="35" fillId="0" borderId="17" applyNumberFormat="0" applyFill="0" applyAlignment="0" applyProtection="0"/>
    <xf numFmtId="0" fontId="27" fillId="0" borderId="18" applyNumberFormat="0" applyFill="0" applyAlignment="0" applyProtection="0"/>
    <xf numFmtId="0" fontId="36" fillId="0" borderId="0" applyNumberFormat="0" applyFill="0" applyBorder="0" applyAlignment="0" applyProtection="0"/>
    <xf numFmtId="0" fontId="37" fillId="0" borderId="19" applyNumberFormat="0" applyFill="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0" fontId="38" fillId="0" borderId="0" applyNumberFormat="0" applyFill="0" applyBorder="0" applyAlignment="0" applyProtection="0"/>
    <xf numFmtId="0" fontId="21" fillId="0" borderId="0"/>
    <xf numFmtId="9" fontId="1" fillId="0" borderId="0" applyFill="0" applyBorder="0" applyAlignment="0" applyProtection="0"/>
    <xf numFmtId="9" fontId="39" fillId="0" borderId="0"/>
    <xf numFmtId="9" fontId="1" fillId="0" borderId="0" applyBorder="0" applyAlignment="0" applyProtection="0"/>
    <xf numFmtId="0" fontId="1" fillId="0" borderId="0"/>
    <xf numFmtId="0" fontId="1" fillId="0" borderId="0"/>
    <xf numFmtId="0" fontId="1" fillId="0" borderId="0"/>
    <xf numFmtId="43" fontId="1" fillId="0" borderId="0" applyFill="0" applyBorder="0" applyAlignment="0" applyProtection="0"/>
    <xf numFmtId="0" fontId="1" fillId="0" borderId="0"/>
    <xf numFmtId="0" fontId="1" fillId="0" borderId="0"/>
    <xf numFmtId="0" fontId="1" fillId="0" borderId="0"/>
    <xf numFmtId="0" fontId="21" fillId="56"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34" borderId="0" applyNumberFormat="0" applyBorder="0" applyAlignment="0" applyProtection="0"/>
    <xf numFmtId="0" fontId="21" fillId="39"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35" borderId="0" applyNumberFormat="0" applyBorder="0" applyAlignment="0" applyProtection="0"/>
    <xf numFmtId="0" fontId="21" fillId="5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36" borderId="0" applyNumberFormat="0" applyBorder="0" applyAlignment="0" applyProtection="0"/>
    <xf numFmtId="0" fontId="21" fillId="56"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3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48"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21" fillId="40"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21" fillId="54"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21" fillId="42" borderId="0" applyNumberFormat="0" applyBorder="0" applyAlignment="0" applyProtection="0"/>
    <xf numFmtId="0" fontId="21" fillId="48"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21" fillId="3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21" fillId="39"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21" fillId="43" borderId="0" applyNumberFormat="0" applyBorder="0" applyAlignment="0" applyProtection="0"/>
    <xf numFmtId="0" fontId="22" fillId="46" borderId="0" applyNumberFormat="0" applyBorder="0" applyAlignment="0" applyProtection="0"/>
    <xf numFmtId="0" fontId="20" fillId="13" borderId="0" applyNumberFormat="0" applyBorder="0" applyAlignment="0" applyProtection="0"/>
    <xf numFmtId="0" fontId="22" fillId="44" borderId="0" applyNumberFormat="0" applyBorder="0" applyAlignment="0" applyProtection="0"/>
    <xf numFmtId="0" fontId="20" fillId="17" borderId="0" applyNumberFormat="0" applyBorder="0" applyAlignment="0" applyProtection="0"/>
    <xf numFmtId="0" fontId="22" fillId="54" borderId="0" applyNumberFormat="0" applyBorder="0" applyAlignment="0" applyProtection="0"/>
    <xf numFmtId="0" fontId="20" fillId="21" borderId="0" applyNumberFormat="0" applyBorder="0" applyAlignment="0" applyProtection="0"/>
    <xf numFmtId="0" fontId="22" fillId="42" borderId="0" applyNumberFormat="0" applyBorder="0" applyAlignment="0" applyProtection="0"/>
    <xf numFmtId="0" fontId="22" fillId="48" borderId="0" applyNumberFormat="0" applyBorder="0" applyAlignment="0" applyProtection="0"/>
    <xf numFmtId="0" fontId="20" fillId="25" borderId="0" applyNumberFormat="0" applyBorder="0" applyAlignment="0" applyProtection="0"/>
    <xf numFmtId="0" fontId="22" fillId="45" borderId="0" applyNumberFormat="0" applyBorder="0" applyAlignment="0" applyProtection="0"/>
    <xf numFmtId="0" fontId="20" fillId="29" borderId="0" applyNumberFormat="0" applyBorder="0" applyAlignment="0" applyProtection="0"/>
    <xf numFmtId="0" fontId="22" fillId="39" borderId="0" applyNumberFormat="0" applyBorder="0" applyAlignment="0" applyProtection="0"/>
    <xf numFmtId="0" fontId="20" fillId="33" borderId="0" applyNumberFormat="0" applyBorder="0" applyAlignment="0" applyProtection="0"/>
    <xf numFmtId="0" fontId="22" fillId="47" borderId="0" applyNumberFormat="0" applyBorder="0" applyAlignment="0" applyProtection="0"/>
    <xf numFmtId="0" fontId="9" fillId="3" borderId="0" applyNumberFormat="0" applyBorder="0" applyAlignment="0" applyProtection="0"/>
    <xf numFmtId="0" fontId="24" fillId="56" borderId="11" applyNumberFormat="0" applyAlignment="0" applyProtection="0"/>
    <xf numFmtId="0" fontId="14" fillId="7" borderId="5" applyNumberFormat="0" applyAlignment="0" applyProtection="0"/>
    <xf numFmtId="0" fontId="24" fillId="48" borderId="11" applyNumberFormat="0" applyAlignment="0" applyProtection="0"/>
    <xf numFmtId="0" fontId="16" fillId="8" borderId="8" applyNumberFormat="0" applyAlignment="0" applyProtection="0"/>
    <xf numFmtId="0" fontId="15" fillId="0" borderId="7" applyNumberFormat="0" applyFill="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27" fillId="0" borderId="0" applyNumberFormat="0" applyFill="0" applyBorder="0" applyAlignment="0" applyProtection="0"/>
    <xf numFmtId="0" fontId="22" fillId="46" borderId="0" applyNumberFormat="0" applyBorder="0" applyAlignment="0" applyProtection="0"/>
    <xf numFmtId="0" fontId="20" fillId="10" borderId="0" applyNumberFormat="0" applyBorder="0" applyAlignment="0" applyProtection="0"/>
    <xf numFmtId="0" fontId="22" fillId="5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2" fillId="57" borderId="0" applyNumberFormat="0" applyBorder="0" applyAlignment="0" applyProtection="0"/>
    <xf numFmtId="0" fontId="20" fillId="22" borderId="0" applyNumberFormat="0" applyBorder="0" applyAlignment="0" applyProtection="0"/>
    <xf numFmtId="0" fontId="22" fillId="45"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12" fillId="6" borderId="5" applyNumberFormat="0" applyAlignment="0" applyProtection="0"/>
    <xf numFmtId="0" fontId="10" fillId="4" borderId="0" applyNumberFormat="0" applyBorder="0" applyAlignment="0" applyProtection="0"/>
    <xf numFmtId="43" fontId="1" fillId="0" borderId="0" applyFill="0" applyBorder="0" applyAlignment="0" applyProtection="0"/>
    <xf numFmtId="43" fontId="1" fillId="0" borderId="0" applyFill="0" applyBorder="0" applyAlignment="0" applyProtection="0"/>
    <xf numFmtId="43"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171"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11" fillId="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0" fontId="4" fillId="9" borderId="9" applyNumberFormat="0" applyFont="0" applyAlignment="0" applyProtection="0"/>
    <xf numFmtId="0" fontId="21" fillId="55" borderId="14" applyNumberFormat="0" applyFont="0" applyAlignment="0" applyProtection="0"/>
    <xf numFmtId="9" fontId="4" fillId="0" borderId="0" applyFont="0" applyFill="0" applyBorder="0" applyAlignment="0" applyProtection="0"/>
    <xf numFmtId="0" fontId="31" fillId="56" borderId="15" applyNumberFormat="0" applyAlignment="0" applyProtection="0"/>
    <xf numFmtId="0" fontId="13" fillId="7" borderId="6" applyNumberFormat="0" applyAlignment="0" applyProtection="0"/>
    <xf numFmtId="0" fontId="31" fillId="48" borderId="1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41" fillId="0" borderId="20" applyNumberFormat="0" applyFill="0" applyAlignment="0" applyProtection="0"/>
    <xf numFmtId="0" fontId="6" fillId="0" borderId="2" applyNumberFormat="0" applyFill="0" applyAlignment="0" applyProtection="0"/>
    <xf numFmtId="0" fontId="34" fillId="0" borderId="16" applyNumberFormat="0" applyFill="0" applyAlignment="0" applyProtection="0"/>
    <xf numFmtId="0" fontId="42" fillId="0" borderId="17" applyNumberFormat="0" applyFill="0" applyAlignment="0" applyProtection="0"/>
    <xf numFmtId="0" fontId="7" fillId="0" borderId="3" applyNumberFormat="0" applyFill="0" applyAlignment="0" applyProtection="0"/>
    <xf numFmtId="0" fontId="35" fillId="0" borderId="17" applyNumberFormat="0" applyFill="0" applyAlignment="0" applyProtection="0"/>
    <xf numFmtId="0" fontId="40" fillId="0" borderId="21" applyNumberFormat="0" applyFill="0" applyAlignment="0" applyProtection="0"/>
    <xf numFmtId="0" fontId="8" fillId="0" borderId="4" applyNumberFormat="0" applyFill="0" applyAlignment="0" applyProtection="0"/>
    <xf numFmtId="0" fontId="27" fillId="0" borderId="18" applyNumberFormat="0" applyFill="0" applyAlignment="0" applyProtection="0"/>
    <xf numFmtId="0" fontId="43" fillId="0" borderId="0" applyNumberFormat="0" applyFill="0" applyBorder="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19" fillId="0" borderId="10" applyNumberFormat="0" applyFill="0" applyAlignment="0" applyProtection="0"/>
    <xf numFmtId="0" fontId="37" fillId="0" borderId="19" applyNumberFormat="0" applyFill="0" applyAlignment="0" applyProtection="0"/>
    <xf numFmtId="172" fontId="1" fillId="0" borderId="0" applyFont="0" applyFill="0" applyBorder="0" applyAlignment="0" applyProtection="0"/>
    <xf numFmtId="9" fontId="1" fillId="0" borderId="0" applyFont="0" applyFill="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22" fillId="42" borderId="0" applyNumberFormat="0" applyBorder="0" applyAlignment="0" applyProtection="0"/>
    <xf numFmtId="0" fontId="22" fillId="45" borderId="0" applyNumberFormat="0" applyBorder="0" applyAlignment="0" applyProtection="0"/>
    <xf numFmtId="0" fontId="22" fillId="47" borderId="0" applyNumberFormat="0" applyBorder="0" applyAlignment="0" applyProtection="0"/>
    <xf numFmtId="0" fontId="24" fillId="48" borderId="11" applyNumberFormat="0" applyAlignment="0" applyProtection="0"/>
    <xf numFmtId="0" fontId="27" fillId="0" borderId="0" applyNumberFormat="0" applyFill="0" applyBorder="0" applyAlignment="0" applyProtection="0"/>
    <xf numFmtId="0" fontId="22" fillId="50" borderId="0" applyNumberFormat="0" applyBorder="0" applyAlignment="0" applyProtection="0"/>
    <xf numFmtId="0" fontId="22" fillId="45" borderId="0" applyNumberFormat="0" applyBorder="0" applyAlignment="0" applyProtection="0"/>
    <xf numFmtId="43" fontId="1" fillId="0" borderId="0" applyFont="0" applyFill="0" applyBorder="0" applyAlignment="0" applyProtection="0"/>
    <xf numFmtId="169" fontId="1" fillId="0" borderId="0" applyFont="0" applyFill="0" applyBorder="0" applyAlignment="0" applyProtection="0"/>
    <xf numFmtId="0" fontId="31" fillId="48" borderId="15" applyNumberFormat="0" applyAlignment="0" applyProtection="0"/>
    <xf numFmtId="0" fontId="34" fillId="0" borderId="16" applyNumberFormat="0" applyFill="0" applyAlignment="0" applyProtection="0"/>
    <xf numFmtId="0" fontId="35" fillId="0" borderId="17" applyNumberFormat="0" applyFill="0" applyAlignment="0" applyProtection="0"/>
    <xf numFmtId="0" fontId="27" fillId="0" borderId="18" applyNumberFormat="0" applyFill="0" applyAlignment="0" applyProtection="0"/>
    <xf numFmtId="0" fontId="36" fillId="0" borderId="0" applyNumberFormat="0" applyFill="0" applyBorder="0" applyAlignment="0" applyProtection="0"/>
    <xf numFmtId="0" fontId="37" fillId="0" borderId="19" applyNumberFormat="0" applyFill="0" applyAlignment="0" applyProtection="0"/>
    <xf numFmtId="43" fontId="1" fillId="0" borderId="0" applyFont="0" applyFill="0" applyBorder="0" applyAlignment="0" applyProtection="0"/>
    <xf numFmtId="169" fontId="1" fillId="0" borderId="0" applyFont="0" applyFill="0" applyBorder="0" applyAlignment="0" applyProtection="0"/>
    <xf numFmtId="43" fontId="4" fillId="0" borderId="0" applyFont="0" applyFill="0" applyBorder="0" applyAlignment="0" applyProtection="0"/>
    <xf numFmtId="0" fontId="21" fillId="0" borderId="0"/>
    <xf numFmtId="9" fontId="1" fillId="0" borderId="0" applyFill="0" applyBorder="0" applyAlignment="0" applyProtection="0"/>
    <xf numFmtId="9" fontId="39" fillId="0" borderId="0"/>
    <xf numFmtId="43" fontId="1" fillId="0" borderId="0" applyFont="0" applyFill="0" applyBorder="0" applyAlignment="0" applyProtection="0"/>
    <xf numFmtId="169" fontId="1" fillId="0" borderId="0" applyFont="0" applyFill="0" applyBorder="0" applyAlignment="0" applyProtection="0"/>
    <xf numFmtId="0" fontId="1" fillId="0" borderId="0"/>
    <xf numFmtId="169" fontId="4" fillId="0" borderId="0" applyFont="0" applyFill="0" applyBorder="0" applyAlignment="0" applyProtection="0"/>
    <xf numFmtId="169" fontId="4" fillId="0" borderId="0" applyFont="0" applyFill="0" applyBorder="0" applyAlignment="0" applyProtection="0"/>
    <xf numFmtId="166" fontId="1" fillId="0" borderId="0" applyFont="0" applyFill="0" applyBorder="0" applyAlignment="0" applyProtection="0"/>
    <xf numFmtId="0" fontId="4" fillId="0" borderId="0"/>
    <xf numFmtId="0" fontId="1" fillId="0" borderId="0"/>
    <xf numFmtId="0" fontId="4" fillId="9" borderId="9" applyNumberFormat="0" applyFont="0" applyAlignment="0" applyProtection="0"/>
    <xf numFmtId="167" fontId="4" fillId="0" borderId="0" applyFont="0" applyFill="0" applyBorder="0" applyAlignment="0" applyProtection="0"/>
    <xf numFmtId="9" fontId="4" fillId="0" borderId="0" applyFont="0" applyFill="0" applyBorder="0" applyAlignment="0" applyProtection="0"/>
    <xf numFmtId="0" fontId="45" fillId="0" borderId="0"/>
    <xf numFmtId="0" fontId="4" fillId="0" borderId="0"/>
    <xf numFmtId="0" fontId="4" fillId="0" borderId="0"/>
    <xf numFmtId="0" fontId="39" fillId="0" borderId="0"/>
    <xf numFmtId="0" fontId="39" fillId="0" borderId="0"/>
    <xf numFmtId="43" fontId="1" fillId="0" borderId="0" applyFont="0" applyFill="0" applyBorder="0" applyAlignment="0" applyProtection="0"/>
    <xf numFmtId="173" fontId="1" fillId="0" borderId="0" applyFont="0" applyFill="0" applyBorder="0" applyAlignment="0" applyProtection="0"/>
    <xf numFmtId="166"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1" fillId="0" borderId="0" applyFill="0" applyBorder="0" applyAlignment="0" applyProtection="0"/>
    <xf numFmtId="43" fontId="1" fillId="0" borderId="0" applyFill="0" applyBorder="0" applyAlignment="0" applyProtection="0"/>
    <xf numFmtId="43" fontId="1" fillId="0" borderId="0" applyFont="0" applyFill="0" applyBorder="0" applyAlignment="0" applyProtection="0"/>
    <xf numFmtId="43"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21" fillId="0" borderId="0"/>
    <xf numFmtId="43" fontId="4" fillId="0" borderId="0" applyFont="0" applyFill="0" applyBorder="0" applyAlignment="0" applyProtection="0"/>
    <xf numFmtId="0" fontId="4" fillId="0" borderId="0"/>
    <xf numFmtId="0" fontId="1" fillId="0" borderId="0"/>
    <xf numFmtId="9" fontId="1"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39" fillId="0" borderId="0"/>
    <xf numFmtId="9" fontId="39" fillId="0" borderId="0"/>
    <xf numFmtId="167" fontId="4"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43"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9" applyNumberFormat="0" applyFont="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43"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43"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43"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43"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43"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2" fontId="1" fillId="0" borderId="0" applyFont="0" applyFill="0" applyBorder="0" applyAlignment="0" applyProtection="0"/>
    <xf numFmtId="176"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1"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172"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72" fontId="4" fillId="0" borderId="0" applyFont="0" applyFill="0" applyBorder="0" applyAlignment="0" applyProtection="0"/>
    <xf numFmtId="9"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9" applyNumberFormat="0" applyFont="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172"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172"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172" fontId="4" fillId="0" borderId="0" applyFont="0" applyFill="0" applyBorder="0" applyAlignment="0" applyProtection="0"/>
    <xf numFmtId="0" fontId="4" fillId="19" borderId="0" applyNumberFormat="0" applyBorder="0" applyAlignment="0" applyProtection="0"/>
    <xf numFmtId="0" fontId="4" fillId="20" borderId="0" applyNumberFormat="0" applyBorder="0" applyAlignment="0" applyProtection="0"/>
    <xf numFmtId="172" fontId="4" fillId="0" borderId="0" applyFont="0" applyFill="0" applyBorder="0" applyAlignment="0" applyProtection="0"/>
    <xf numFmtId="0" fontId="4" fillId="23" borderId="0" applyNumberFormat="0" applyBorder="0" applyAlignment="0" applyProtection="0"/>
    <xf numFmtId="0" fontId="4" fillId="24" borderId="0" applyNumberFormat="0" applyBorder="0" applyAlignment="0" applyProtection="0"/>
    <xf numFmtId="172" fontId="4" fillId="0" borderId="0" applyFont="0" applyFill="0" applyBorder="0" applyAlignment="0" applyProtection="0"/>
    <xf numFmtId="0" fontId="4" fillId="27" borderId="0" applyNumberFormat="0" applyBorder="0" applyAlignment="0" applyProtection="0"/>
    <xf numFmtId="0" fontId="4" fillId="28"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172" fontId="4"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 fillId="9" borderId="9" applyNumberFormat="0" applyFont="0" applyAlignment="0" applyProtection="0"/>
    <xf numFmtId="172" fontId="4" fillId="0" borderId="0" applyFon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172" fontId="4" fillId="0" borderId="0" applyFont="0" applyFill="0" applyBorder="0" applyAlignment="0" applyProtection="0"/>
    <xf numFmtId="0" fontId="4" fillId="0" borderId="0"/>
    <xf numFmtId="0" fontId="4" fillId="9" borderId="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1" fillId="0" borderId="0"/>
    <xf numFmtId="177" fontId="1" fillId="0" borderId="0" applyFill="0" applyBorder="0" applyAlignment="0" applyProtection="0"/>
    <xf numFmtId="3" fontId="1" fillId="0" borderId="0" applyFill="0" applyBorder="0" applyAlignment="0" applyProtection="0"/>
    <xf numFmtId="178" fontId="1" fillId="0" borderId="0" applyFill="0" applyBorder="0" applyAlignment="0" applyProtection="0"/>
    <xf numFmtId="179" fontId="1" fillId="0" borderId="0" applyFill="0" applyBorder="0" applyAlignment="0" applyProtection="0"/>
    <xf numFmtId="180" fontId="1" fillId="0" borderId="0" applyFont="0" applyFill="0" applyBorder="0" applyAlignment="0" applyProtection="0"/>
    <xf numFmtId="0" fontId="1" fillId="0" borderId="0" applyFill="0" applyBorder="0" applyAlignment="0" applyProtection="0"/>
    <xf numFmtId="2" fontId="1" fillId="0" borderId="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4" fillId="0" borderId="0" applyFont="0" applyFill="0" applyBorder="0" applyAlignment="0" applyProtection="0"/>
    <xf numFmtId="181" fontId="1" fillId="0" borderId="0"/>
    <xf numFmtId="181" fontId="1" fillId="0" borderId="0"/>
    <xf numFmtId="181" fontId="1" fillId="0" borderId="0"/>
    <xf numFmtId="181" fontId="1" fillId="0" borderId="0"/>
    <xf numFmtId="181" fontId="1" fillId="0" borderId="0"/>
    <xf numFmtId="181" fontId="4" fillId="0" borderId="0"/>
    <xf numFmtId="181" fontId="4" fillId="0" borderId="0"/>
    <xf numFmtId="181" fontId="4" fillId="0" borderId="0"/>
    <xf numFmtId="181" fontId="4" fillId="0" borderId="0"/>
    <xf numFmtId="181" fontId="1" fillId="0" borderId="0"/>
    <xf numFmtId="181" fontId="1" fillId="0" borderId="0"/>
    <xf numFmtId="181" fontId="1" fillId="0" borderId="0"/>
    <xf numFmtId="0" fontId="61" fillId="0" borderId="0"/>
    <xf numFmtId="37" fontId="62"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alignment wrapText="1"/>
    </xf>
    <xf numFmtId="181" fontId="1" fillId="0" borderId="0"/>
    <xf numFmtId="181" fontId="1" fillId="0" borderId="0"/>
    <xf numFmtId="181" fontId="1" fillId="0" borderId="0"/>
    <xf numFmtId="181" fontId="1" fillId="0" borderId="0"/>
    <xf numFmtId="0" fontId="4"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4" fillId="0" borderId="0"/>
    <xf numFmtId="37" fontId="63" fillId="0" borderId="0"/>
    <xf numFmtId="181" fontId="1" fillId="0" borderId="0"/>
    <xf numFmtId="181" fontId="1" fillId="0" borderId="0"/>
    <xf numFmtId="181" fontId="1" fillId="0" borderId="0"/>
    <xf numFmtId="181" fontId="1" fillId="0" borderId="0"/>
    <xf numFmtId="181" fontId="1" fillId="0" borderId="0"/>
    <xf numFmtId="181" fontId="4" fillId="0" borderId="0"/>
    <xf numFmtId="181" fontId="4" fillId="0" borderId="0"/>
    <xf numFmtId="181" fontId="4" fillId="0" borderId="0"/>
    <xf numFmtId="181" fontId="4" fillId="0" borderId="0"/>
    <xf numFmtId="10" fontId="1" fillId="0" borderId="0" applyFill="0" applyBorder="0" applyAlignment="0" applyProtection="0"/>
    <xf numFmtId="0" fontId="64" fillId="0" borderId="0">
      <alignment horizontal="right"/>
      <protection locked="0"/>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cellStyleXfs>
  <cellXfs count="86">
    <xf numFmtId="0" fontId="0" fillId="0" borderId="0" xfId="0"/>
    <xf numFmtId="0" fontId="46" fillId="0" borderId="0" xfId="0" applyFont="1" applyAlignment="1">
      <alignment horizontal="left"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7" fillId="59" borderId="1" xfId="1" applyFont="1" applyFill="1" applyBorder="1" applyAlignment="1">
      <alignment horizontal="center" vertical="center" wrapText="1"/>
    </xf>
    <xf numFmtId="0" fontId="48" fillId="2" borderId="0" xfId="0" applyFont="1" applyFill="1" applyAlignment="1">
      <alignment horizontal="center" vertical="center"/>
    </xf>
    <xf numFmtId="0" fontId="49" fillId="2" borderId="1" xfId="1" applyFont="1" applyFill="1" applyBorder="1" applyAlignment="1">
      <alignment horizontal="center" vertical="center" wrapText="1"/>
    </xf>
    <xf numFmtId="0" fontId="50" fillId="2" borderId="1" xfId="1" applyFont="1" applyFill="1" applyBorder="1" applyAlignment="1">
      <alignment horizontal="center" vertical="center" wrapText="1"/>
    </xf>
    <xf numFmtId="0" fontId="51" fillId="2" borderId="1" xfId="3" applyFont="1" applyFill="1" applyBorder="1" applyAlignment="1" applyProtection="1">
      <alignment horizontal="center" vertical="center" wrapText="1"/>
    </xf>
    <xf numFmtId="0" fontId="52" fillId="2" borderId="1" xfId="3" applyFont="1" applyFill="1" applyBorder="1" applyAlignment="1" applyProtection="1">
      <alignment horizontal="center" vertical="center" wrapText="1"/>
    </xf>
    <xf numFmtId="168" fontId="44" fillId="2"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15" fontId="50" fillId="2" borderId="1" xfId="1" applyNumberFormat="1" applyFont="1" applyFill="1" applyBorder="1" applyAlignment="1">
      <alignment horizontal="center" vertical="center" wrapText="1"/>
    </xf>
    <xf numFmtId="0" fontId="19" fillId="58" borderId="1" xfId="303" applyFont="1" applyFill="1" applyBorder="1" applyAlignment="1">
      <alignment horizontal="center" vertical="center" wrapText="1"/>
    </xf>
    <xf numFmtId="10" fontId="4" fillId="0" borderId="1" xfId="307" applyNumberFormat="1" applyFont="1" applyFill="1" applyBorder="1" applyAlignment="1">
      <alignment horizontal="center" vertical="center" wrapText="1"/>
    </xf>
    <xf numFmtId="167" fontId="4" fillId="0" borderId="1" xfId="306" applyNumberFormat="1" applyFont="1" applyFill="1" applyBorder="1" applyAlignment="1">
      <alignment horizontal="center" vertical="center" wrapText="1"/>
    </xf>
    <xf numFmtId="15"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0" fontId="19"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0" fontId="46" fillId="0" borderId="0" xfId="0" applyFont="1" applyAlignment="1">
      <alignment horizontal="center" wrapText="1"/>
    </xf>
    <xf numFmtId="168" fontId="4" fillId="0" borderId="0" xfId="0" applyNumberFormat="1" applyFont="1" applyFill="1" applyAlignment="1">
      <alignment horizontal="center" vertical="center" wrapText="1"/>
    </xf>
    <xf numFmtId="15" fontId="53"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15" fontId="0"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5" fontId="0"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protection locked="0"/>
    </xf>
    <xf numFmtId="174" fontId="0" fillId="0" borderId="1" xfId="0" applyNumberFormat="1" applyFont="1" applyFill="1" applyBorder="1" applyAlignment="1" applyProtection="1">
      <alignment horizontal="center" vertical="center" wrapText="1"/>
      <protection locked="0"/>
    </xf>
    <xf numFmtId="0" fontId="55" fillId="0" borderId="0" xfId="0" applyFont="1" applyAlignment="1">
      <alignment horizontal="center" wrapText="1"/>
    </xf>
    <xf numFmtId="168" fontId="19" fillId="0" borderId="0" xfId="0" applyNumberFormat="1" applyFont="1" applyFill="1" applyAlignment="1">
      <alignment horizontal="center" vertical="center" wrapText="1"/>
    </xf>
    <xf numFmtId="0" fontId="4" fillId="0" borderId="23"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0" borderId="23" xfId="0" applyFont="1" applyFill="1" applyBorder="1" applyAlignment="1">
      <alignment horizontal="center" vertical="center" wrapText="1"/>
    </xf>
    <xf numFmtId="174" fontId="19" fillId="58" borderId="25" xfId="0" applyNumberFormat="1" applyFont="1" applyFill="1" applyBorder="1" applyAlignment="1" applyProtection="1">
      <alignment horizontal="center" vertical="center" wrapText="1"/>
      <protection locked="0"/>
    </xf>
    <xf numFmtId="174" fontId="19" fillId="58" borderId="26" xfId="0" applyNumberFormat="1" applyFont="1" applyFill="1" applyBorder="1" applyAlignment="1" applyProtection="1">
      <alignment horizontal="center" vertical="center" wrapText="1"/>
      <protection locked="0"/>
    </xf>
    <xf numFmtId="174" fontId="0" fillId="0" borderId="24" xfId="0" applyNumberFormat="1" applyFont="1" applyFill="1" applyBorder="1" applyAlignment="1" applyProtection="1">
      <alignment horizontal="center" vertical="center" wrapText="1"/>
      <protection locked="0"/>
    </xf>
    <xf numFmtId="174" fontId="19" fillId="58" borderId="28" xfId="0" applyNumberFormat="1" applyFont="1" applyFill="1" applyBorder="1" applyAlignment="1">
      <alignment horizontal="center" wrapText="1"/>
    </xf>
    <xf numFmtId="174" fontId="19" fillId="0" borderId="29" xfId="0" applyNumberFormat="1" applyFont="1" applyBorder="1" applyAlignment="1">
      <alignment horizontal="center" wrapText="1"/>
    </xf>
    <xf numFmtId="174" fontId="19" fillId="0" borderId="30" xfId="0" applyNumberFormat="1" applyFont="1" applyBorder="1" applyAlignment="1">
      <alignment horizontal="center" wrapText="1"/>
    </xf>
    <xf numFmtId="0" fontId="19" fillId="2" borderId="0" xfId="0" applyFont="1" applyFill="1" applyBorder="1" applyAlignment="1">
      <alignment horizontal="center" vertical="center" wrapText="1"/>
    </xf>
    <xf numFmtId="174" fontId="19" fillId="58" borderId="31" xfId="0" applyNumberFormat="1" applyFont="1" applyFill="1" applyBorder="1" applyAlignment="1">
      <alignment horizontal="center" wrapText="1"/>
    </xf>
    <xf numFmtId="174" fontId="19" fillId="0" borderId="32" xfId="0" applyNumberFormat="1" applyFont="1" applyBorder="1" applyAlignment="1">
      <alignment horizontal="center" wrapText="1"/>
    </xf>
    <xf numFmtId="15" fontId="4" fillId="0" borderId="34" xfId="0" applyNumberFormat="1" applyFont="1" applyFill="1" applyBorder="1" applyAlignment="1" applyProtection="1">
      <alignment horizontal="center" vertical="center" wrapText="1"/>
    </xf>
    <xf numFmtId="0" fontId="4" fillId="0" borderId="35" xfId="0" applyFont="1" applyFill="1" applyBorder="1" applyAlignment="1">
      <alignment horizontal="center" vertical="center" wrapText="1"/>
    </xf>
    <xf numFmtId="174" fontId="19" fillId="58" borderId="36" xfId="0" applyNumberFormat="1" applyFont="1" applyFill="1" applyBorder="1" applyAlignment="1" applyProtection="1">
      <alignment horizontal="center" vertical="center" wrapText="1"/>
      <protection locked="0"/>
    </xf>
    <xf numFmtId="174" fontId="0" fillId="0" borderId="34" xfId="0" applyNumberFormat="1" applyFont="1" applyFill="1" applyBorder="1" applyAlignment="1" applyProtection="1">
      <alignment horizontal="center" vertical="center" wrapText="1"/>
      <protection locked="0"/>
    </xf>
    <xf numFmtId="0" fontId="19" fillId="58" borderId="27" xfId="303" applyFont="1" applyFill="1" applyBorder="1" applyAlignment="1">
      <alignment horizontal="center" vertical="center" wrapText="1"/>
    </xf>
    <xf numFmtId="174" fontId="0" fillId="0" borderId="37" xfId="0" applyNumberFormat="1" applyFont="1" applyFill="1" applyBorder="1" applyAlignment="1" applyProtection="1">
      <alignment horizontal="center" vertical="center" wrapText="1"/>
      <protection locked="0"/>
    </xf>
    <xf numFmtId="0" fontId="19" fillId="2" borderId="1" xfId="0" applyFont="1" applyFill="1" applyBorder="1" applyAlignment="1">
      <alignment horizontal="center" vertical="center" wrapText="1"/>
    </xf>
    <xf numFmtId="15" fontId="4" fillId="2" borderId="1" xfId="0" applyNumberFormat="1" applyFont="1" applyFill="1" applyBorder="1" applyAlignment="1" applyProtection="1">
      <alignment horizontal="center" vertical="center" wrapText="1"/>
    </xf>
    <xf numFmtId="0" fontId="4" fillId="2" borderId="23" xfId="0" applyFont="1" applyFill="1" applyBorder="1" applyAlignment="1">
      <alignment horizontal="center" vertical="center" wrapText="1"/>
    </xf>
    <xf numFmtId="174" fontId="0" fillId="2" borderId="1" xfId="0" applyNumberFormat="1" applyFont="1" applyFill="1" applyBorder="1" applyAlignment="1" applyProtection="1">
      <alignment horizontal="center" vertical="center" wrapText="1"/>
      <protection locked="0"/>
    </xf>
    <xf numFmtId="0" fontId="19" fillId="58" borderId="24" xfId="303" applyFont="1" applyFill="1" applyBorder="1" applyAlignment="1">
      <alignment horizontal="center" vertical="center" wrapText="1"/>
    </xf>
    <xf numFmtId="0" fontId="4" fillId="0" borderId="34" xfId="0" applyFont="1" applyFill="1" applyBorder="1" applyAlignment="1" applyProtection="1">
      <alignment horizontal="center" vertical="center"/>
      <protection locked="0"/>
    </xf>
    <xf numFmtId="0" fontId="4" fillId="0" borderId="34" xfId="0" applyFont="1" applyFill="1" applyBorder="1" applyAlignment="1">
      <alignment horizontal="center" vertical="center" wrapText="1"/>
    </xf>
    <xf numFmtId="0" fontId="19" fillId="58" borderId="32" xfId="303" applyFont="1" applyFill="1" applyBorder="1" applyAlignment="1">
      <alignment horizontal="center" vertical="center" wrapText="1"/>
    </xf>
    <xf numFmtId="0" fontId="19" fillId="58" borderId="33" xfId="303" applyFont="1" applyFill="1" applyBorder="1" applyAlignment="1">
      <alignment horizontal="center" vertical="center" wrapText="1"/>
    </xf>
    <xf numFmtId="0" fontId="19" fillId="58" borderId="31" xfId="303" applyFont="1" applyFill="1" applyBorder="1" applyAlignment="1">
      <alignment horizontal="center" vertical="center" wrapText="1"/>
    </xf>
    <xf numFmtId="0" fontId="19" fillId="58" borderId="38" xfId="303" applyFont="1" applyFill="1" applyBorder="1" applyAlignment="1">
      <alignment horizontal="center" vertical="center" wrapText="1"/>
    </xf>
    <xf numFmtId="0" fontId="19" fillId="58" borderId="39" xfId="303" applyFont="1" applyFill="1" applyBorder="1" applyAlignment="1">
      <alignment horizontal="center" vertical="center" wrapText="1"/>
    </xf>
    <xf numFmtId="174" fontId="4" fillId="0" borderId="0" xfId="346" applyNumberFormat="1" applyFont="1" applyFill="1" applyAlignment="1">
      <alignment horizontal="center" vertical="center" wrapText="1"/>
    </xf>
    <xf numFmtId="174" fontId="56" fillId="0" borderId="0" xfId="0" applyNumberFormat="1" applyFont="1" applyAlignment="1">
      <alignment horizontal="center" wrapText="1"/>
    </xf>
    <xf numFmtId="174" fontId="4" fillId="0" borderId="0" xfId="0" applyNumberFormat="1" applyFont="1" applyFill="1" applyAlignment="1">
      <alignment horizontal="center" vertical="center" wrapText="1"/>
    </xf>
    <xf numFmtId="0" fontId="57" fillId="0" borderId="0" xfId="0" applyFont="1" applyAlignment="1">
      <alignment horizontal="center" wrapText="1"/>
    </xf>
    <xf numFmtId="174" fontId="58" fillId="0" borderId="0" xfId="0" applyNumberFormat="1" applyFont="1" applyAlignment="1">
      <alignment horizontal="center" wrapText="1"/>
    </xf>
    <xf numFmtId="175" fontId="4" fillId="0" borderId="0" xfId="0" applyNumberFormat="1" applyFont="1" applyFill="1" applyAlignment="1">
      <alignment horizontal="center" vertical="center" wrapText="1"/>
    </xf>
    <xf numFmtId="0" fontId="19" fillId="60" borderId="1" xfId="0" applyFont="1" applyFill="1" applyBorder="1" applyAlignment="1" applyProtection="1">
      <alignment horizontal="center" vertical="center" wrapText="1"/>
    </xf>
    <xf numFmtId="0" fontId="19" fillId="61" borderId="1" xfId="0" applyFont="1" applyFill="1" applyBorder="1" applyAlignment="1" applyProtection="1">
      <alignment horizontal="center" vertical="center" wrapText="1"/>
    </xf>
    <xf numFmtId="174" fontId="0" fillId="0" borderId="40" xfId="0" applyNumberFormat="1" applyFont="1" applyFill="1" applyBorder="1" applyAlignment="1" applyProtection="1">
      <alignment horizontal="center" vertical="center" wrapText="1"/>
      <protection locked="0"/>
    </xf>
    <xf numFmtId="174" fontId="0" fillId="0" borderId="35" xfId="0" applyNumberFormat="1" applyFont="1" applyFill="1" applyBorder="1" applyAlignment="1" applyProtection="1">
      <alignment horizontal="center" vertical="center" wrapText="1"/>
      <protection locked="0"/>
    </xf>
    <xf numFmtId="174" fontId="0" fillId="0" borderId="23" xfId="0" applyNumberFormat="1" applyFont="1" applyFill="1" applyBorder="1" applyAlignment="1" applyProtection="1">
      <alignment horizontal="center" vertical="center" wrapText="1"/>
      <protection locked="0"/>
    </xf>
    <xf numFmtId="174" fontId="0" fillId="2" borderId="23" xfId="0" applyNumberFormat="1" applyFont="1" applyFill="1" applyBorder="1" applyAlignment="1" applyProtection="1">
      <alignment horizontal="center" vertical="center" wrapText="1"/>
      <protection locked="0"/>
    </xf>
    <xf numFmtId="174" fontId="4" fillId="2" borderId="23" xfId="346" applyNumberFormat="1" applyFont="1" applyFill="1" applyBorder="1" applyAlignment="1">
      <alignment horizontal="center" vertical="center" wrapText="1"/>
    </xf>
    <xf numFmtId="174" fontId="19" fillId="58" borderId="40" xfId="0" applyNumberFormat="1" applyFont="1" applyFill="1" applyBorder="1" applyAlignment="1" applyProtection="1">
      <alignment horizontal="center" vertical="center" wrapText="1"/>
      <protection locked="0"/>
    </xf>
    <xf numFmtId="174" fontId="19" fillId="58" borderId="41" xfId="0" applyNumberFormat="1" applyFont="1" applyFill="1" applyBorder="1" applyAlignment="1" applyProtection="1">
      <alignment horizontal="center" vertical="center" wrapText="1"/>
      <protection locked="0"/>
    </xf>
    <xf numFmtId="0" fontId="19" fillId="58" borderId="42" xfId="303" applyFont="1" applyFill="1" applyBorder="1" applyAlignment="1">
      <alignment horizontal="center" vertical="center" wrapText="1"/>
    </xf>
    <xf numFmtId="0" fontId="0" fillId="2"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168" fontId="65" fillId="2" borderId="1" xfId="0" applyNumberFormat="1" applyFont="1" applyFill="1" applyBorder="1" applyAlignment="1">
      <alignment horizontal="center" vertical="center" wrapText="1"/>
    </xf>
    <xf numFmtId="0" fontId="19" fillId="58" borderId="1" xfId="303" applyFont="1" applyFill="1" applyBorder="1" applyAlignment="1">
      <alignment horizontal="center" vertical="center" wrapText="1"/>
    </xf>
    <xf numFmtId="0" fontId="19" fillId="58" borderId="23" xfId="303" applyFont="1" applyFill="1" applyBorder="1" applyAlignment="1">
      <alignment horizontal="center" vertical="center" wrapText="1"/>
    </xf>
    <xf numFmtId="0" fontId="4" fillId="0" borderId="1" xfId="303" applyFont="1" applyFill="1" applyBorder="1" applyAlignment="1">
      <alignment horizontal="center" vertical="center" wrapText="1"/>
    </xf>
    <xf numFmtId="0" fontId="0" fillId="0" borderId="1" xfId="303" applyFont="1" applyBorder="1" applyAlignment="1">
      <alignment horizontal="center" vertical="center" wrapText="1"/>
    </xf>
  </cellXfs>
  <cellStyles count="4564">
    <cellStyle name="20% - Énfasis1" xfId="24" builtinId="30" customBuiltin="1"/>
    <cellStyle name="20% - Énfasis1 10" xfId="497"/>
    <cellStyle name="20% - Énfasis1 10 2" xfId="1195"/>
    <cellStyle name="20% - Énfasis1 10 2 2" xfId="3515"/>
    <cellStyle name="20% - Énfasis1 10 3" xfId="2800"/>
    <cellStyle name="20% - Énfasis1 11" xfId="522"/>
    <cellStyle name="20% - Énfasis1 11 2" xfId="1221"/>
    <cellStyle name="20% - Énfasis1 11 2 2" xfId="3541"/>
    <cellStyle name="20% - Énfasis1 11 3" xfId="2826"/>
    <cellStyle name="20% - Énfasis1 12" xfId="555"/>
    <cellStyle name="20% - Énfasis1 12 2" xfId="1254"/>
    <cellStyle name="20% - Énfasis1 12 2 2" xfId="3574"/>
    <cellStyle name="20% - Énfasis1 12 3" xfId="2859"/>
    <cellStyle name="20% - Énfasis1 13" xfId="576"/>
    <cellStyle name="20% - Énfasis1 13 2" xfId="1275"/>
    <cellStyle name="20% - Énfasis1 13 2 2" xfId="3595"/>
    <cellStyle name="20% - Énfasis1 13 3" xfId="2880"/>
    <cellStyle name="20% - Énfasis1 14" xfId="594"/>
    <cellStyle name="20% - Énfasis1 14 2" xfId="1293"/>
    <cellStyle name="20% - Énfasis1 14 2 2" xfId="3613"/>
    <cellStyle name="20% - Énfasis1 14 3" xfId="2898"/>
    <cellStyle name="20% - Énfasis1 15" xfId="607"/>
    <cellStyle name="20% - Énfasis1 15 2" xfId="1306"/>
    <cellStyle name="20% - Énfasis1 15 2 2" xfId="3626"/>
    <cellStyle name="20% - Énfasis1 15 3" xfId="2911"/>
    <cellStyle name="20% - Énfasis1 16" xfId="620"/>
    <cellStyle name="20% - Énfasis1 16 2" xfId="1319"/>
    <cellStyle name="20% - Énfasis1 16 2 2" xfId="3639"/>
    <cellStyle name="20% - Énfasis1 16 3" xfId="2924"/>
    <cellStyle name="20% - Énfasis1 17" xfId="637"/>
    <cellStyle name="20% - Énfasis1 17 2" xfId="1336"/>
    <cellStyle name="20% - Énfasis1 17 2 2" xfId="3656"/>
    <cellStyle name="20% - Énfasis1 17 3" xfId="2941"/>
    <cellStyle name="20% - Énfasis1 18" xfId="654"/>
    <cellStyle name="20% - Énfasis1 18 2" xfId="1353"/>
    <cellStyle name="20% - Énfasis1 18 2 2" xfId="3673"/>
    <cellStyle name="20% - Énfasis1 18 3" xfId="2958"/>
    <cellStyle name="20% - Énfasis1 19" xfId="670"/>
    <cellStyle name="20% - Énfasis1 19 2" xfId="1369"/>
    <cellStyle name="20% - Énfasis1 19 2 2" xfId="3689"/>
    <cellStyle name="20% - Énfasis1 19 3" xfId="2974"/>
    <cellStyle name="20% - Énfasis1 2" xfId="58"/>
    <cellStyle name="20% - Énfasis1 2 2" xfId="126"/>
    <cellStyle name="20% - Énfasis1 2 2 2" xfId="3400"/>
    <cellStyle name="20% - Énfasis1 2 3" xfId="267"/>
    <cellStyle name="20% - Énfasis1 2 3 2" xfId="2684"/>
    <cellStyle name="20% - Énfasis1 2 4" xfId="125"/>
    <cellStyle name="20% - Énfasis1 20" xfId="687"/>
    <cellStyle name="20% - Énfasis1 20 2" xfId="1386"/>
    <cellStyle name="20% - Énfasis1 20 2 2" xfId="3706"/>
    <cellStyle name="20% - Énfasis1 20 3" xfId="2991"/>
    <cellStyle name="20% - Énfasis1 21" xfId="705"/>
    <cellStyle name="20% - Énfasis1 21 2" xfId="1404"/>
    <cellStyle name="20% - Énfasis1 21 2 2" xfId="3724"/>
    <cellStyle name="20% - Énfasis1 21 3" xfId="3009"/>
    <cellStyle name="20% - Énfasis1 22" xfId="724"/>
    <cellStyle name="20% - Énfasis1 22 2" xfId="1423"/>
    <cellStyle name="20% - Énfasis1 22 2 2" xfId="3743"/>
    <cellStyle name="20% - Énfasis1 22 3" xfId="3028"/>
    <cellStyle name="20% - Énfasis1 23" xfId="743"/>
    <cellStyle name="20% - Énfasis1 23 2" xfId="1442"/>
    <cellStyle name="20% - Énfasis1 23 2 2" xfId="3762"/>
    <cellStyle name="20% - Énfasis1 23 3" xfId="3047"/>
    <cellStyle name="20% - Énfasis1 24" xfId="762"/>
    <cellStyle name="20% - Énfasis1 24 2" xfId="1461"/>
    <cellStyle name="20% - Énfasis1 24 2 2" xfId="3781"/>
    <cellStyle name="20% - Énfasis1 24 3" xfId="3066"/>
    <cellStyle name="20% - Énfasis1 25" xfId="783"/>
    <cellStyle name="20% - Énfasis1 25 2" xfId="1482"/>
    <cellStyle name="20% - Énfasis1 25 2 2" xfId="3802"/>
    <cellStyle name="20% - Énfasis1 25 3" xfId="3087"/>
    <cellStyle name="20% - Énfasis1 26" xfId="806"/>
    <cellStyle name="20% - Énfasis1 26 2" xfId="1505"/>
    <cellStyle name="20% - Énfasis1 26 2 2" xfId="3825"/>
    <cellStyle name="20% - Énfasis1 26 3" xfId="3110"/>
    <cellStyle name="20% - Énfasis1 27" xfId="826"/>
    <cellStyle name="20% - Énfasis1 27 2" xfId="1525"/>
    <cellStyle name="20% - Énfasis1 27 2 2" xfId="3845"/>
    <cellStyle name="20% - Énfasis1 27 3" xfId="3130"/>
    <cellStyle name="20% - Énfasis1 28" xfId="849"/>
    <cellStyle name="20% - Énfasis1 28 2" xfId="1548"/>
    <cellStyle name="20% - Énfasis1 28 2 2" xfId="3868"/>
    <cellStyle name="20% - Énfasis1 28 3" xfId="3153"/>
    <cellStyle name="20% - Énfasis1 29" xfId="869"/>
    <cellStyle name="20% - Énfasis1 29 2" xfId="1568"/>
    <cellStyle name="20% - Énfasis1 29 2 2" xfId="3888"/>
    <cellStyle name="20% - Énfasis1 29 3" xfId="3173"/>
    <cellStyle name="20% - Énfasis1 3" xfId="127"/>
    <cellStyle name="20% - Énfasis1 3 2" xfId="1095"/>
    <cellStyle name="20% - Énfasis1 3 2 2" xfId="3413"/>
    <cellStyle name="20% - Énfasis1 3 3" xfId="2697"/>
    <cellStyle name="20% - Énfasis1 30" xfId="891"/>
    <cellStyle name="20% - Énfasis1 30 2" xfId="1590"/>
    <cellStyle name="20% - Énfasis1 30 2 2" xfId="3910"/>
    <cellStyle name="20% - Énfasis1 30 3" xfId="3195"/>
    <cellStyle name="20% - Énfasis1 31" xfId="914"/>
    <cellStyle name="20% - Énfasis1 31 2" xfId="1613"/>
    <cellStyle name="20% - Énfasis1 31 2 2" xfId="3933"/>
    <cellStyle name="20% - Énfasis1 31 3" xfId="3218"/>
    <cellStyle name="20% - Énfasis1 32" xfId="930"/>
    <cellStyle name="20% - Énfasis1 32 2" xfId="1629"/>
    <cellStyle name="20% - Énfasis1 32 2 2" xfId="3949"/>
    <cellStyle name="20% - Énfasis1 32 3" xfId="3234"/>
    <cellStyle name="20% - Énfasis1 33" xfId="949"/>
    <cellStyle name="20% - Énfasis1 33 2" xfId="1648"/>
    <cellStyle name="20% - Énfasis1 33 2 2" xfId="3968"/>
    <cellStyle name="20% - Énfasis1 33 3" xfId="3253"/>
    <cellStyle name="20% - Énfasis1 34" xfId="968"/>
    <cellStyle name="20% - Énfasis1 34 2" xfId="1668"/>
    <cellStyle name="20% - Énfasis1 34 2 2" xfId="3988"/>
    <cellStyle name="20% - Énfasis1 34 3" xfId="3272"/>
    <cellStyle name="20% - Énfasis1 35" xfId="987"/>
    <cellStyle name="20% - Énfasis1 35 2" xfId="1687"/>
    <cellStyle name="20% - Énfasis1 35 2 2" xfId="4008"/>
    <cellStyle name="20% - Énfasis1 35 3" xfId="3293"/>
    <cellStyle name="20% - Énfasis1 36" xfId="1005"/>
    <cellStyle name="20% - Énfasis1 36 2" xfId="1705"/>
    <cellStyle name="20% - Énfasis1 36 2 2" xfId="4026"/>
    <cellStyle name="20% - Énfasis1 36 3" xfId="3311"/>
    <cellStyle name="20% - Énfasis1 37" xfId="1025"/>
    <cellStyle name="20% - Énfasis1 37 2" xfId="1725"/>
    <cellStyle name="20% - Énfasis1 37 2 2" xfId="4046"/>
    <cellStyle name="20% - Énfasis1 37 3" xfId="3331"/>
    <cellStyle name="20% - Énfasis1 38" xfId="1045"/>
    <cellStyle name="20% - Énfasis1 38 2" xfId="1745"/>
    <cellStyle name="20% - Énfasis1 38 2 2" xfId="4066"/>
    <cellStyle name="20% - Énfasis1 38 3" xfId="3351"/>
    <cellStyle name="20% - Énfasis1 39" xfId="1064"/>
    <cellStyle name="20% - Énfasis1 39 2" xfId="3370"/>
    <cellStyle name="20% - Énfasis1 4" xfId="128"/>
    <cellStyle name="20% - Énfasis1 4 2" xfId="1108"/>
    <cellStyle name="20% - Énfasis1 4 2 2" xfId="3426"/>
    <cellStyle name="20% - Énfasis1 4 3" xfId="2710"/>
    <cellStyle name="20% - Énfasis1 40" xfId="1079"/>
    <cellStyle name="20% - Énfasis1 40 2" xfId="3384"/>
    <cellStyle name="20% - Énfasis1 41" xfId="1764"/>
    <cellStyle name="20% - Énfasis1 41 2" xfId="4085"/>
    <cellStyle name="20% - Énfasis1 42" xfId="1785"/>
    <cellStyle name="20% - Énfasis1 42 2" xfId="4106"/>
    <cellStyle name="20% - Énfasis1 43" xfId="1808"/>
    <cellStyle name="20% - Énfasis1 43 2" xfId="4129"/>
    <cellStyle name="20% - Énfasis1 44" xfId="1824"/>
    <cellStyle name="20% - Énfasis1 44 2" xfId="4145"/>
    <cellStyle name="20% - Énfasis1 45" xfId="1840"/>
    <cellStyle name="20% - Énfasis1 45 2" xfId="4161"/>
    <cellStyle name="20% - Énfasis1 46" xfId="1860"/>
    <cellStyle name="20% - Énfasis1 46 2" xfId="4181"/>
    <cellStyle name="20% - Énfasis1 47" xfId="1881"/>
    <cellStyle name="20% - Énfasis1 47 2" xfId="4202"/>
    <cellStyle name="20% - Énfasis1 48" xfId="1899"/>
    <cellStyle name="20% - Énfasis1 48 2" xfId="4220"/>
    <cellStyle name="20% - Énfasis1 49" xfId="1912"/>
    <cellStyle name="20% - Énfasis1 49 2" xfId="4233"/>
    <cellStyle name="20% - Énfasis1 5" xfId="129"/>
    <cellStyle name="20% - Énfasis1 5 2" xfId="1121"/>
    <cellStyle name="20% - Énfasis1 5 2 2" xfId="3439"/>
    <cellStyle name="20% - Énfasis1 5 3" xfId="2723"/>
    <cellStyle name="20% - Énfasis1 5 4" xfId="426"/>
    <cellStyle name="20% - Énfasis1 50" xfId="1927"/>
    <cellStyle name="20% - Énfasis1 50 2" xfId="4248"/>
    <cellStyle name="20% - Énfasis1 51" xfId="1947"/>
    <cellStyle name="20% - Énfasis1 51 2" xfId="4268"/>
    <cellStyle name="20% - Énfasis1 52" xfId="1972"/>
    <cellStyle name="20% - Énfasis1 52 2" xfId="4293"/>
    <cellStyle name="20% - Énfasis1 53" xfId="1998"/>
    <cellStyle name="20% - Énfasis1 53 2" xfId="4319"/>
    <cellStyle name="20% - Énfasis1 54" xfId="2014"/>
    <cellStyle name="20% - Énfasis1 54 2" xfId="4335"/>
    <cellStyle name="20% - Énfasis1 55" xfId="2028"/>
    <cellStyle name="20% - Énfasis1 55 2" xfId="4349"/>
    <cellStyle name="20% - Énfasis1 56" xfId="2046"/>
    <cellStyle name="20% - Énfasis1 56 2" xfId="4367"/>
    <cellStyle name="20% - Énfasis1 57" xfId="2067"/>
    <cellStyle name="20% - Énfasis1 57 2" xfId="4388"/>
    <cellStyle name="20% - Énfasis1 58" xfId="2591"/>
    <cellStyle name="20% - Énfasis1 58 2" xfId="4409"/>
    <cellStyle name="20% - Énfasis1 59" xfId="2606"/>
    <cellStyle name="20% - Énfasis1 59 2" xfId="4424"/>
    <cellStyle name="20% - Énfasis1 6" xfId="438"/>
    <cellStyle name="20% - Énfasis1 6 2" xfId="1134"/>
    <cellStyle name="20% - Énfasis1 6 2 2" xfId="3452"/>
    <cellStyle name="20% - Énfasis1 6 3" xfId="2736"/>
    <cellStyle name="20% - Énfasis1 60" xfId="2625"/>
    <cellStyle name="20% - Énfasis1 60 2" xfId="4443"/>
    <cellStyle name="20% - Énfasis1 61" xfId="2641"/>
    <cellStyle name="20% - Énfasis1 61 2" xfId="4459"/>
    <cellStyle name="20% - Énfasis1 62" xfId="2656"/>
    <cellStyle name="20% - Énfasis1 62 2" xfId="4474"/>
    <cellStyle name="20% - Énfasis1 63" xfId="2669"/>
    <cellStyle name="20% - Énfasis1 7" xfId="451"/>
    <cellStyle name="20% - Énfasis1 7 2" xfId="1147"/>
    <cellStyle name="20% - Énfasis1 7 2 2" xfId="3466"/>
    <cellStyle name="20% - Énfasis1 7 3" xfId="2750"/>
    <cellStyle name="20% - Énfasis1 8" xfId="464"/>
    <cellStyle name="20% - Énfasis1 8 2" xfId="1160"/>
    <cellStyle name="20% - Énfasis1 8 2 2" xfId="3479"/>
    <cellStyle name="20% - Énfasis1 8 3" xfId="2763"/>
    <cellStyle name="20% - Énfasis1 9" xfId="477"/>
    <cellStyle name="20% - Énfasis1 9 2" xfId="1175"/>
    <cellStyle name="20% - Énfasis1 9 2 2" xfId="3496"/>
    <cellStyle name="20% - Énfasis1 9 3" xfId="2780"/>
    <cellStyle name="20% - Énfasis2" xfId="28" builtinId="34" customBuiltin="1"/>
    <cellStyle name="20% - Énfasis2 10" xfId="499"/>
    <cellStyle name="20% - Énfasis2 10 2" xfId="1197"/>
    <cellStyle name="20% - Énfasis2 10 2 2" xfId="3517"/>
    <cellStyle name="20% - Énfasis2 10 3" xfId="2802"/>
    <cellStyle name="20% - Énfasis2 11" xfId="524"/>
    <cellStyle name="20% - Énfasis2 11 2" xfId="1223"/>
    <cellStyle name="20% - Énfasis2 11 2 2" xfId="3543"/>
    <cellStyle name="20% - Énfasis2 11 3" xfId="2828"/>
    <cellStyle name="20% - Énfasis2 12" xfId="557"/>
    <cellStyle name="20% - Énfasis2 12 2" xfId="1256"/>
    <cellStyle name="20% - Énfasis2 12 2 2" xfId="3576"/>
    <cellStyle name="20% - Énfasis2 12 3" xfId="2861"/>
    <cellStyle name="20% - Énfasis2 13" xfId="579"/>
    <cellStyle name="20% - Énfasis2 13 2" xfId="1278"/>
    <cellStyle name="20% - Énfasis2 13 2 2" xfId="3598"/>
    <cellStyle name="20% - Énfasis2 13 3" xfId="2883"/>
    <cellStyle name="20% - Énfasis2 14" xfId="596"/>
    <cellStyle name="20% - Énfasis2 14 2" xfId="1295"/>
    <cellStyle name="20% - Énfasis2 14 2 2" xfId="3615"/>
    <cellStyle name="20% - Énfasis2 14 3" xfId="2900"/>
    <cellStyle name="20% - Énfasis2 15" xfId="609"/>
    <cellStyle name="20% - Énfasis2 15 2" xfId="1308"/>
    <cellStyle name="20% - Énfasis2 15 2 2" xfId="3628"/>
    <cellStyle name="20% - Énfasis2 15 3" xfId="2913"/>
    <cellStyle name="20% - Énfasis2 16" xfId="622"/>
    <cellStyle name="20% - Énfasis2 16 2" xfId="1321"/>
    <cellStyle name="20% - Énfasis2 16 2 2" xfId="3641"/>
    <cellStyle name="20% - Énfasis2 16 3" xfId="2926"/>
    <cellStyle name="20% - Énfasis2 17" xfId="639"/>
    <cellStyle name="20% - Énfasis2 17 2" xfId="1338"/>
    <cellStyle name="20% - Énfasis2 17 2 2" xfId="3658"/>
    <cellStyle name="20% - Énfasis2 17 3" xfId="2943"/>
    <cellStyle name="20% - Énfasis2 18" xfId="656"/>
    <cellStyle name="20% - Énfasis2 18 2" xfId="1355"/>
    <cellStyle name="20% - Énfasis2 18 2 2" xfId="3675"/>
    <cellStyle name="20% - Énfasis2 18 3" xfId="2960"/>
    <cellStyle name="20% - Énfasis2 19" xfId="672"/>
    <cellStyle name="20% - Énfasis2 19 2" xfId="1371"/>
    <cellStyle name="20% - Énfasis2 19 2 2" xfId="3691"/>
    <cellStyle name="20% - Énfasis2 19 3" xfId="2976"/>
    <cellStyle name="20% - Énfasis2 2" xfId="59"/>
    <cellStyle name="20% - Énfasis2 2 2" xfId="131"/>
    <cellStyle name="20% - Énfasis2 2 2 2" xfId="3402"/>
    <cellStyle name="20% - Énfasis2 2 3" xfId="268"/>
    <cellStyle name="20% - Énfasis2 2 3 2" xfId="2686"/>
    <cellStyle name="20% - Énfasis2 2 4" xfId="130"/>
    <cellStyle name="20% - Énfasis2 20" xfId="689"/>
    <cellStyle name="20% - Énfasis2 20 2" xfId="1388"/>
    <cellStyle name="20% - Énfasis2 20 2 2" xfId="3708"/>
    <cellStyle name="20% - Énfasis2 20 3" xfId="2993"/>
    <cellStyle name="20% - Énfasis2 21" xfId="707"/>
    <cellStyle name="20% - Énfasis2 21 2" xfId="1406"/>
    <cellStyle name="20% - Énfasis2 21 2 2" xfId="3726"/>
    <cellStyle name="20% - Énfasis2 21 3" xfId="3011"/>
    <cellStyle name="20% - Énfasis2 22" xfId="726"/>
    <cellStyle name="20% - Énfasis2 22 2" xfId="1425"/>
    <cellStyle name="20% - Énfasis2 22 2 2" xfId="3745"/>
    <cellStyle name="20% - Énfasis2 22 3" xfId="3030"/>
    <cellStyle name="20% - Énfasis2 23" xfId="745"/>
    <cellStyle name="20% - Énfasis2 23 2" xfId="1444"/>
    <cellStyle name="20% - Énfasis2 23 2 2" xfId="3764"/>
    <cellStyle name="20% - Énfasis2 23 3" xfId="3049"/>
    <cellStyle name="20% - Énfasis2 24" xfId="764"/>
    <cellStyle name="20% - Énfasis2 24 2" xfId="1463"/>
    <cellStyle name="20% - Énfasis2 24 2 2" xfId="3783"/>
    <cellStyle name="20% - Énfasis2 24 3" xfId="3068"/>
    <cellStyle name="20% - Énfasis2 25" xfId="786"/>
    <cellStyle name="20% - Énfasis2 25 2" xfId="1485"/>
    <cellStyle name="20% - Énfasis2 25 2 2" xfId="3805"/>
    <cellStyle name="20% - Énfasis2 25 3" xfId="3090"/>
    <cellStyle name="20% - Énfasis2 26" xfId="808"/>
    <cellStyle name="20% - Énfasis2 26 2" xfId="1507"/>
    <cellStyle name="20% - Énfasis2 26 2 2" xfId="3827"/>
    <cellStyle name="20% - Énfasis2 26 3" xfId="3112"/>
    <cellStyle name="20% - Énfasis2 27" xfId="828"/>
    <cellStyle name="20% - Énfasis2 27 2" xfId="1527"/>
    <cellStyle name="20% - Énfasis2 27 2 2" xfId="3847"/>
    <cellStyle name="20% - Énfasis2 27 3" xfId="3132"/>
    <cellStyle name="20% - Énfasis2 28" xfId="851"/>
    <cellStyle name="20% - Énfasis2 28 2" xfId="1550"/>
    <cellStyle name="20% - Énfasis2 28 2 2" xfId="3870"/>
    <cellStyle name="20% - Énfasis2 28 3" xfId="3155"/>
    <cellStyle name="20% - Énfasis2 29" xfId="871"/>
    <cellStyle name="20% - Énfasis2 29 2" xfId="1570"/>
    <cellStyle name="20% - Énfasis2 29 2 2" xfId="3890"/>
    <cellStyle name="20% - Énfasis2 29 3" xfId="3175"/>
    <cellStyle name="20% - Énfasis2 3" xfId="132"/>
    <cellStyle name="20% - Énfasis2 3 2" xfId="1097"/>
    <cellStyle name="20% - Énfasis2 3 2 2" xfId="3415"/>
    <cellStyle name="20% - Énfasis2 3 3" xfId="2699"/>
    <cellStyle name="20% - Énfasis2 30" xfId="893"/>
    <cellStyle name="20% - Énfasis2 30 2" xfId="1592"/>
    <cellStyle name="20% - Énfasis2 30 2 2" xfId="3912"/>
    <cellStyle name="20% - Énfasis2 30 3" xfId="3197"/>
    <cellStyle name="20% - Énfasis2 31" xfId="917"/>
    <cellStyle name="20% - Énfasis2 31 2" xfId="1616"/>
    <cellStyle name="20% - Énfasis2 31 2 2" xfId="3936"/>
    <cellStyle name="20% - Énfasis2 31 3" xfId="3221"/>
    <cellStyle name="20% - Énfasis2 32" xfId="932"/>
    <cellStyle name="20% - Énfasis2 32 2" xfId="1631"/>
    <cellStyle name="20% - Énfasis2 32 2 2" xfId="3951"/>
    <cellStyle name="20% - Énfasis2 32 3" xfId="3236"/>
    <cellStyle name="20% - Énfasis2 33" xfId="951"/>
    <cellStyle name="20% - Énfasis2 33 2" xfId="1650"/>
    <cellStyle name="20% - Énfasis2 33 2 2" xfId="3970"/>
    <cellStyle name="20% - Énfasis2 33 3" xfId="3255"/>
    <cellStyle name="20% - Énfasis2 34" xfId="970"/>
    <cellStyle name="20% - Énfasis2 34 2" xfId="1670"/>
    <cellStyle name="20% - Énfasis2 34 2 2" xfId="3990"/>
    <cellStyle name="20% - Énfasis2 34 3" xfId="3274"/>
    <cellStyle name="20% - Énfasis2 35" xfId="989"/>
    <cellStyle name="20% - Énfasis2 35 2" xfId="1689"/>
    <cellStyle name="20% - Énfasis2 35 2 2" xfId="4010"/>
    <cellStyle name="20% - Énfasis2 35 3" xfId="3295"/>
    <cellStyle name="20% - Énfasis2 36" xfId="1007"/>
    <cellStyle name="20% - Énfasis2 36 2" xfId="1707"/>
    <cellStyle name="20% - Énfasis2 36 2 2" xfId="4028"/>
    <cellStyle name="20% - Énfasis2 36 3" xfId="3313"/>
    <cellStyle name="20% - Énfasis2 37" xfId="1028"/>
    <cellStyle name="20% - Énfasis2 37 2" xfId="1728"/>
    <cellStyle name="20% - Énfasis2 37 2 2" xfId="4049"/>
    <cellStyle name="20% - Énfasis2 37 3" xfId="3334"/>
    <cellStyle name="20% - Énfasis2 38" xfId="1047"/>
    <cellStyle name="20% - Énfasis2 38 2" xfId="1747"/>
    <cellStyle name="20% - Énfasis2 38 2 2" xfId="4068"/>
    <cellStyle name="20% - Énfasis2 38 3" xfId="3353"/>
    <cellStyle name="20% - Énfasis2 39" xfId="1066"/>
    <cellStyle name="20% - Énfasis2 39 2" xfId="3372"/>
    <cellStyle name="20% - Énfasis2 4" xfId="133"/>
    <cellStyle name="20% - Énfasis2 4 2" xfId="1110"/>
    <cellStyle name="20% - Énfasis2 4 2 2" xfId="3428"/>
    <cellStyle name="20% - Énfasis2 4 3" xfId="2712"/>
    <cellStyle name="20% - Énfasis2 40" xfId="1081"/>
    <cellStyle name="20% - Énfasis2 40 2" xfId="3386"/>
    <cellStyle name="20% - Énfasis2 41" xfId="1766"/>
    <cellStyle name="20% - Énfasis2 41 2" xfId="4087"/>
    <cellStyle name="20% - Énfasis2 42" xfId="1787"/>
    <cellStyle name="20% - Énfasis2 42 2" xfId="4108"/>
    <cellStyle name="20% - Énfasis2 43" xfId="1811"/>
    <cellStyle name="20% - Énfasis2 43 2" xfId="4132"/>
    <cellStyle name="20% - Énfasis2 44" xfId="1826"/>
    <cellStyle name="20% - Énfasis2 44 2" xfId="4147"/>
    <cellStyle name="20% - Énfasis2 45" xfId="1842"/>
    <cellStyle name="20% - Énfasis2 45 2" xfId="4163"/>
    <cellStyle name="20% - Énfasis2 46" xfId="1862"/>
    <cellStyle name="20% - Énfasis2 46 2" xfId="4183"/>
    <cellStyle name="20% - Énfasis2 47" xfId="1884"/>
    <cellStyle name="20% - Énfasis2 47 2" xfId="4205"/>
    <cellStyle name="20% - Énfasis2 48" xfId="1901"/>
    <cellStyle name="20% - Énfasis2 48 2" xfId="4222"/>
    <cellStyle name="20% - Énfasis2 49" xfId="1914"/>
    <cellStyle name="20% - Énfasis2 49 2" xfId="4235"/>
    <cellStyle name="20% - Énfasis2 5" xfId="134"/>
    <cellStyle name="20% - Énfasis2 5 2" xfId="1123"/>
    <cellStyle name="20% - Énfasis2 5 2 2" xfId="3441"/>
    <cellStyle name="20% - Énfasis2 5 3" xfId="2725"/>
    <cellStyle name="20% - Énfasis2 5 4" xfId="428"/>
    <cellStyle name="20% - Énfasis2 50" xfId="1929"/>
    <cellStyle name="20% - Énfasis2 50 2" xfId="4250"/>
    <cellStyle name="20% - Énfasis2 51" xfId="1950"/>
    <cellStyle name="20% - Énfasis2 51 2" xfId="4271"/>
    <cellStyle name="20% - Énfasis2 52" xfId="1975"/>
    <cellStyle name="20% - Énfasis2 52 2" xfId="4296"/>
    <cellStyle name="20% - Énfasis2 53" xfId="2000"/>
    <cellStyle name="20% - Énfasis2 53 2" xfId="4321"/>
    <cellStyle name="20% - Énfasis2 54" xfId="2016"/>
    <cellStyle name="20% - Énfasis2 54 2" xfId="4337"/>
    <cellStyle name="20% - Énfasis2 55" xfId="2030"/>
    <cellStyle name="20% - Énfasis2 55 2" xfId="4351"/>
    <cellStyle name="20% - Énfasis2 56" xfId="2049"/>
    <cellStyle name="20% - Énfasis2 56 2" xfId="4370"/>
    <cellStyle name="20% - Énfasis2 57" xfId="2069"/>
    <cellStyle name="20% - Énfasis2 57 2" xfId="4390"/>
    <cellStyle name="20% - Énfasis2 58" xfId="2593"/>
    <cellStyle name="20% - Énfasis2 58 2" xfId="4411"/>
    <cellStyle name="20% - Énfasis2 59" xfId="2608"/>
    <cellStyle name="20% - Énfasis2 59 2" xfId="4426"/>
    <cellStyle name="20% - Énfasis2 6" xfId="440"/>
    <cellStyle name="20% - Énfasis2 6 2" xfId="1136"/>
    <cellStyle name="20% - Énfasis2 6 2 2" xfId="3454"/>
    <cellStyle name="20% - Énfasis2 6 3" xfId="2738"/>
    <cellStyle name="20% - Énfasis2 60" xfId="2627"/>
    <cellStyle name="20% - Énfasis2 60 2" xfId="4445"/>
    <cellStyle name="20% - Énfasis2 61" xfId="2643"/>
    <cellStyle name="20% - Énfasis2 61 2" xfId="4461"/>
    <cellStyle name="20% - Énfasis2 62" xfId="2658"/>
    <cellStyle name="20% - Énfasis2 62 2" xfId="4476"/>
    <cellStyle name="20% - Énfasis2 63" xfId="2671"/>
    <cellStyle name="20% - Énfasis2 7" xfId="453"/>
    <cellStyle name="20% - Énfasis2 7 2" xfId="1149"/>
    <cellStyle name="20% - Énfasis2 7 2 2" xfId="3468"/>
    <cellStyle name="20% - Énfasis2 7 3" xfId="2752"/>
    <cellStyle name="20% - Énfasis2 8" xfId="466"/>
    <cellStyle name="20% - Énfasis2 8 2" xfId="1162"/>
    <cellStyle name="20% - Énfasis2 8 2 2" xfId="3481"/>
    <cellStyle name="20% - Énfasis2 8 3" xfId="2765"/>
    <cellStyle name="20% - Énfasis2 9" xfId="479"/>
    <cellStyle name="20% - Énfasis2 9 2" xfId="1177"/>
    <cellStyle name="20% - Énfasis2 9 2 2" xfId="3498"/>
    <cellStyle name="20% - Énfasis2 9 3" xfId="2782"/>
    <cellStyle name="20% - Énfasis3" xfId="32" builtinId="38" customBuiltin="1"/>
    <cellStyle name="20% - Énfasis3 10" xfId="501"/>
    <cellStyle name="20% - Énfasis3 10 2" xfId="1199"/>
    <cellStyle name="20% - Énfasis3 10 2 2" xfId="3519"/>
    <cellStyle name="20% - Énfasis3 10 3" xfId="2804"/>
    <cellStyle name="20% - Énfasis3 11" xfId="526"/>
    <cellStyle name="20% - Énfasis3 11 2" xfId="1225"/>
    <cellStyle name="20% - Énfasis3 11 2 2" xfId="3545"/>
    <cellStyle name="20% - Énfasis3 11 3" xfId="2830"/>
    <cellStyle name="20% - Énfasis3 12" xfId="559"/>
    <cellStyle name="20% - Énfasis3 12 2" xfId="1258"/>
    <cellStyle name="20% - Énfasis3 12 2 2" xfId="3578"/>
    <cellStyle name="20% - Énfasis3 12 3" xfId="2863"/>
    <cellStyle name="20% - Énfasis3 13" xfId="582"/>
    <cellStyle name="20% - Énfasis3 13 2" xfId="1281"/>
    <cellStyle name="20% - Énfasis3 13 2 2" xfId="3601"/>
    <cellStyle name="20% - Énfasis3 13 3" xfId="2886"/>
    <cellStyle name="20% - Énfasis3 14" xfId="598"/>
    <cellStyle name="20% - Énfasis3 14 2" xfId="1297"/>
    <cellStyle name="20% - Énfasis3 14 2 2" xfId="3617"/>
    <cellStyle name="20% - Énfasis3 14 3" xfId="2902"/>
    <cellStyle name="20% - Énfasis3 15" xfId="611"/>
    <cellStyle name="20% - Énfasis3 15 2" xfId="1310"/>
    <cellStyle name="20% - Énfasis3 15 2 2" xfId="3630"/>
    <cellStyle name="20% - Énfasis3 15 3" xfId="2915"/>
    <cellStyle name="20% - Énfasis3 16" xfId="624"/>
    <cellStyle name="20% - Énfasis3 16 2" xfId="1323"/>
    <cellStyle name="20% - Énfasis3 16 2 2" xfId="3643"/>
    <cellStyle name="20% - Énfasis3 16 3" xfId="2928"/>
    <cellStyle name="20% - Énfasis3 17" xfId="641"/>
    <cellStyle name="20% - Énfasis3 17 2" xfId="1340"/>
    <cellStyle name="20% - Énfasis3 17 2 2" xfId="3660"/>
    <cellStyle name="20% - Énfasis3 17 3" xfId="2945"/>
    <cellStyle name="20% - Énfasis3 18" xfId="658"/>
    <cellStyle name="20% - Énfasis3 18 2" xfId="1357"/>
    <cellStyle name="20% - Énfasis3 18 2 2" xfId="3677"/>
    <cellStyle name="20% - Énfasis3 18 3" xfId="2962"/>
    <cellStyle name="20% - Énfasis3 19" xfId="674"/>
    <cellStyle name="20% - Énfasis3 19 2" xfId="1373"/>
    <cellStyle name="20% - Énfasis3 19 2 2" xfId="3693"/>
    <cellStyle name="20% - Énfasis3 19 3" xfId="2978"/>
    <cellStyle name="20% - Énfasis3 2" xfId="92"/>
    <cellStyle name="20% - Énfasis3 2 2" xfId="136"/>
    <cellStyle name="20% - Énfasis3 2 2 2" xfId="3404"/>
    <cellStyle name="20% - Énfasis3 2 3" xfId="269"/>
    <cellStyle name="20% - Énfasis3 2 3 2" xfId="2688"/>
    <cellStyle name="20% - Énfasis3 2 4" xfId="135"/>
    <cellStyle name="20% - Énfasis3 20" xfId="691"/>
    <cellStyle name="20% - Énfasis3 20 2" xfId="1390"/>
    <cellStyle name="20% - Énfasis3 20 2 2" xfId="3710"/>
    <cellStyle name="20% - Énfasis3 20 3" xfId="2995"/>
    <cellStyle name="20% - Énfasis3 21" xfId="709"/>
    <cellStyle name="20% - Énfasis3 21 2" xfId="1408"/>
    <cellStyle name="20% - Énfasis3 21 2 2" xfId="3728"/>
    <cellStyle name="20% - Énfasis3 21 3" xfId="3013"/>
    <cellStyle name="20% - Énfasis3 22" xfId="728"/>
    <cellStyle name="20% - Énfasis3 22 2" xfId="1427"/>
    <cellStyle name="20% - Énfasis3 22 2 2" xfId="3747"/>
    <cellStyle name="20% - Énfasis3 22 3" xfId="3032"/>
    <cellStyle name="20% - Énfasis3 23" xfId="747"/>
    <cellStyle name="20% - Énfasis3 23 2" xfId="1446"/>
    <cellStyle name="20% - Énfasis3 23 2 2" xfId="3766"/>
    <cellStyle name="20% - Énfasis3 23 3" xfId="3051"/>
    <cellStyle name="20% - Énfasis3 24" xfId="766"/>
    <cellStyle name="20% - Énfasis3 24 2" xfId="1465"/>
    <cellStyle name="20% - Énfasis3 24 2 2" xfId="3785"/>
    <cellStyle name="20% - Énfasis3 24 3" xfId="3070"/>
    <cellStyle name="20% - Énfasis3 25" xfId="789"/>
    <cellStyle name="20% - Énfasis3 25 2" xfId="1488"/>
    <cellStyle name="20% - Énfasis3 25 2 2" xfId="3808"/>
    <cellStyle name="20% - Énfasis3 25 3" xfId="3093"/>
    <cellStyle name="20% - Énfasis3 26" xfId="810"/>
    <cellStyle name="20% - Énfasis3 26 2" xfId="1509"/>
    <cellStyle name="20% - Énfasis3 26 2 2" xfId="3829"/>
    <cellStyle name="20% - Énfasis3 26 3" xfId="3114"/>
    <cellStyle name="20% - Énfasis3 27" xfId="830"/>
    <cellStyle name="20% - Énfasis3 27 2" xfId="1529"/>
    <cellStyle name="20% - Énfasis3 27 2 2" xfId="3849"/>
    <cellStyle name="20% - Énfasis3 27 3" xfId="3134"/>
    <cellStyle name="20% - Énfasis3 28" xfId="853"/>
    <cellStyle name="20% - Énfasis3 28 2" xfId="1552"/>
    <cellStyle name="20% - Énfasis3 28 2 2" xfId="3872"/>
    <cellStyle name="20% - Énfasis3 28 3" xfId="3157"/>
    <cellStyle name="20% - Énfasis3 29" xfId="873"/>
    <cellStyle name="20% - Énfasis3 29 2" xfId="1572"/>
    <cellStyle name="20% - Énfasis3 29 2 2" xfId="3892"/>
    <cellStyle name="20% - Énfasis3 29 3" xfId="3177"/>
    <cellStyle name="20% - Énfasis3 3" xfId="137"/>
    <cellStyle name="20% - Énfasis3 3 2" xfId="1099"/>
    <cellStyle name="20% - Énfasis3 3 2 2" xfId="3417"/>
    <cellStyle name="20% - Énfasis3 3 3" xfId="2701"/>
    <cellStyle name="20% - Énfasis3 30" xfId="895"/>
    <cellStyle name="20% - Énfasis3 30 2" xfId="1594"/>
    <cellStyle name="20% - Énfasis3 30 2 2" xfId="3914"/>
    <cellStyle name="20% - Énfasis3 30 3" xfId="3199"/>
    <cellStyle name="20% - Énfasis3 31" xfId="919"/>
    <cellStyle name="20% - Énfasis3 31 2" xfId="1618"/>
    <cellStyle name="20% - Énfasis3 31 2 2" xfId="3938"/>
    <cellStyle name="20% - Énfasis3 31 3" xfId="3223"/>
    <cellStyle name="20% - Énfasis3 32" xfId="934"/>
    <cellStyle name="20% - Énfasis3 32 2" xfId="1633"/>
    <cellStyle name="20% - Énfasis3 32 2 2" xfId="3953"/>
    <cellStyle name="20% - Énfasis3 32 3" xfId="3238"/>
    <cellStyle name="20% - Énfasis3 33" xfId="953"/>
    <cellStyle name="20% - Énfasis3 33 2" xfId="1652"/>
    <cellStyle name="20% - Énfasis3 33 2 2" xfId="3972"/>
    <cellStyle name="20% - Énfasis3 33 3" xfId="3257"/>
    <cellStyle name="20% - Énfasis3 34" xfId="972"/>
    <cellStyle name="20% - Énfasis3 34 2" xfId="1672"/>
    <cellStyle name="20% - Énfasis3 34 2 2" xfId="3992"/>
    <cellStyle name="20% - Énfasis3 34 3" xfId="3276"/>
    <cellStyle name="20% - Énfasis3 35" xfId="991"/>
    <cellStyle name="20% - Énfasis3 35 2" xfId="1691"/>
    <cellStyle name="20% - Énfasis3 35 2 2" xfId="4012"/>
    <cellStyle name="20% - Énfasis3 35 3" xfId="3297"/>
    <cellStyle name="20% - Énfasis3 36" xfId="1009"/>
    <cellStyle name="20% - Énfasis3 36 2" xfId="1709"/>
    <cellStyle name="20% - Énfasis3 36 2 2" xfId="4030"/>
    <cellStyle name="20% - Énfasis3 36 3" xfId="3315"/>
    <cellStyle name="20% - Énfasis3 37" xfId="1031"/>
    <cellStyle name="20% - Énfasis3 37 2" xfId="1731"/>
    <cellStyle name="20% - Énfasis3 37 2 2" xfId="4052"/>
    <cellStyle name="20% - Énfasis3 37 3" xfId="3337"/>
    <cellStyle name="20% - Énfasis3 38" xfId="1049"/>
    <cellStyle name="20% - Énfasis3 38 2" xfId="1749"/>
    <cellStyle name="20% - Énfasis3 38 2 2" xfId="4070"/>
    <cellStyle name="20% - Énfasis3 38 3" xfId="3355"/>
    <cellStyle name="20% - Énfasis3 39" xfId="1069"/>
    <cellStyle name="20% - Énfasis3 39 2" xfId="3375"/>
    <cellStyle name="20% - Énfasis3 4" xfId="138"/>
    <cellStyle name="20% - Énfasis3 4 2" xfId="1112"/>
    <cellStyle name="20% - Énfasis3 4 2 2" xfId="3430"/>
    <cellStyle name="20% - Énfasis3 4 3" xfId="2714"/>
    <cellStyle name="20% - Énfasis3 40" xfId="1083"/>
    <cellStyle name="20% - Énfasis3 40 2" xfId="3388"/>
    <cellStyle name="20% - Énfasis3 41" xfId="1768"/>
    <cellStyle name="20% - Énfasis3 41 2" xfId="4089"/>
    <cellStyle name="20% - Énfasis3 42" xfId="1789"/>
    <cellStyle name="20% - Énfasis3 42 2" xfId="4110"/>
    <cellStyle name="20% - Énfasis3 43" xfId="1814"/>
    <cellStyle name="20% - Énfasis3 43 2" xfId="4135"/>
    <cellStyle name="20% - Énfasis3 44" xfId="1828"/>
    <cellStyle name="20% - Énfasis3 44 2" xfId="4149"/>
    <cellStyle name="20% - Énfasis3 45" xfId="1844"/>
    <cellStyle name="20% - Énfasis3 45 2" xfId="4165"/>
    <cellStyle name="20% - Énfasis3 46" xfId="1864"/>
    <cellStyle name="20% - Énfasis3 46 2" xfId="4185"/>
    <cellStyle name="20% - Énfasis3 47" xfId="1886"/>
    <cellStyle name="20% - Énfasis3 47 2" xfId="4207"/>
    <cellStyle name="20% - Énfasis3 48" xfId="1903"/>
    <cellStyle name="20% - Énfasis3 48 2" xfId="4224"/>
    <cellStyle name="20% - Énfasis3 49" xfId="1916"/>
    <cellStyle name="20% - Énfasis3 49 2" xfId="4237"/>
    <cellStyle name="20% - Énfasis3 5" xfId="139"/>
    <cellStyle name="20% - Énfasis3 5 2" xfId="1125"/>
    <cellStyle name="20% - Énfasis3 5 2 2" xfId="3443"/>
    <cellStyle name="20% - Énfasis3 5 3" xfId="2727"/>
    <cellStyle name="20% - Énfasis3 5 4" xfId="430"/>
    <cellStyle name="20% - Énfasis3 50" xfId="1931"/>
    <cellStyle name="20% - Énfasis3 50 2" xfId="4252"/>
    <cellStyle name="20% - Énfasis3 51" xfId="1953"/>
    <cellStyle name="20% - Énfasis3 51 2" xfId="4274"/>
    <cellStyle name="20% - Énfasis3 52" xfId="1978"/>
    <cellStyle name="20% - Énfasis3 52 2" xfId="4299"/>
    <cellStyle name="20% - Énfasis3 53" xfId="2002"/>
    <cellStyle name="20% - Énfasis3 53 2" xfId="4323"/>
    <cellStyle name="20% - Énfasis3 54" xfId="2018"/>
    <cellStyle name="20% - Énfasis3 54 2" xfId="4339"/>
    <cellStyle name="20% - Énfasis3 55" xfId="2032"/>
    <cellStyle name="20% - Énfasis3 55 2" xfId="4353"/>
    <cellStyle name="20% - Énfasis3 56" xfId="2051"/>
    <cellStyle name="20% - Énfasis3 56 2" xfId="4372"/>
    <cellStyle name="20% - Énfasis3 57" xfId="2071"/>
    <cellStyle name="20% - Énfasis3 57 2" xfId="4392"/>
    <cellStyle name="20% - Énfasis3 58" xfId="2595"/>
    <cellStyle name="20% - Énfasis3 58 2" xfId="4413"/>
    <cellStyle name="20% - Énfasis3 59" xfId="2610"/>
    <cellStyle name="20% - Énfasis3 59 2" xfId="4428"/>
    <cellStyle name="20% - Énfasis3 6" xfId="442"/>
    <cellStyle name="20% - Énfasis3 6 2" xfId="1138"/>
    <cellStyle name="20% - Énfasis3 6 2 2" xfId="3456"/>
    <cellStyle name="20% - Énfasis3 6 3" xfId="2740"/>
    <cellStyle name="20% - Énfasis3 60" xfId="2629"/>
    <cellStyle name="20% - Énfasis3 60 2" xfId="4447"/>
    <cellStyle name="20% - Énfasis3 61" xfId="2645"/>
    <cellStyle name="20% - Énfasis3 61 2" xfId="4463"/>
    <cellStyle name="20% - Énfasis3 62" xfId="2660"/>
    <cellStyle name="20% - Énfasis3 62 2" xfId="4478"/>
    <cellStyle name="20% - Énfasis3 63" xfId="2673"/>
    <cellStyle name="20% - Énfasis3 7" xfId="455"/>
    <cellStyle name="20% - Énfasis3 7 2" xfId="1151"/>
    <cellStyle name="20% - Énfasis3 7 2 2" xfId="3470"/>
    <cellStyle name="20% - Énfasis3 7 3" xfId="2754"/>
    <cellStyle name="20% - Énfasis3 8" xfId="468"/>
    <cellStyle name="20% - Énfasis3 8 2" xfId="1164"/>
    <cellStyle name="20% - Énfasis3 8 2 2" xfId="3483"/>
    <cellStyle name="20% - Énfasis3 8 3" xfId="2767"/>
    <cellStyle name="20% - Énfasis3 9" xfId="481"/>
    <cellStyle name="20% - Énfasis3 9 2" xfId="1179"/>
    <cellStyle name="20% - Énfasis3 9 2 2" xfId="3500"/>
    <cellStyle name="20% - Énfasis3 9 3" xfId="2784"/>
    <cellStyle name="20% - Énfasis4" xfId="36" builtinId="42" customBuiltin="1"/>
    <cellStyle name="20% - Énfasis4 10" xfId="503"/>
    <cellStyle name="20% - Énfasis4 10 2" xfId="1201"/>
    <cellStyle name="20% - Énfasis4 10 2 2" xfId="3521"/>
    <cellStyle name="20% - Énfasis4 10 3" xfId="2806"/>
    <cellStyle name="20% - Énfasis4 11" xfId="530"/>
    <cellStyle name="20% - Énfasis4 11 2" xfId="1229"/>
    <cellStyle name="20% - Énfasis4 11 2 2" xfId="3549"/>
    <cellStyle name="20% - Énfasis4 11 3" xfId="2834"/>
    <cellStyle name="20% - Énfasis4 12" xfId="561"/>
    <cellStyle name="20% - Énfasis4 12 2" xfId="1260"/>
    <cellStyle name="20% - Énfasis4 12 2 2" xfId="3580"/>
    <cellStyle name="20% - Énfasis4 12 3" xfId="2865"/>
    <cellStyle name="20% - Énfasis4 13" xfId="584"/>
    <cellStyle name="20% - Énfasis4 13 2" xfId="1283"/>
    <cellStyle name="20% - Énfasis4 13 2 2" xfId="3603"/>
    <cellStyle name="20% - Énfasis4 13 3" xfId="2888"/>
    <cellStyle name="20% - Énfasis4 14" xfId="600"/>
    <cellStyle name="20% - Énfasis4 14 2" xfId="1299"/>
    <cellStyle name="20% - Énfasis4 14 2 2" xfId="3619"/>
    <cellStyle name="20% - Énfasis4 14 3" xfId="2904"/>
    <cellStyle name="20% - Énfasis4 15" xfId="613"/>
    <cellStyle name="20% - Énfasis4 15 2" xfId="1312"/>
    <cellStyle name="20% - Énfasis4 15 2 2" xfId="3632"/>
    <cellStyle name="20% - Énfasis4 15 3" xfId="2917"/>
    <cellStyle name="20% - Énfasis4 16" xfId="626"/>
    <cellStyle name="20% - Énfasis4 16 2" xfId="1325"/>
    <cellStyle name="20% - Énfasis4 16 2 2" xfId="3645"/>
    <cellStyle name="20% - Énfasis4 16 3" xfId="2930"/>
    <cellStyle name="20% - Énfasis4 17" xfId="643"/>
    <cellStyle name="20% - Énfasis4 17 2" xfId="1342"/>
    <cellStyle name="20% - Énfasis4 17 2 2" xfId="3662"/>
    <cellStyle name="20% - Énfasis4 17 3" xfId="2947"/>
    <cellStyle name="20% - Énfasis4 18" xfId="660"/>
    <cellStyle name="20% - Énfasis4 18 2" xfId="1359"/>
    <cellStyle name="20% - Énfasis4 18 2 2" xfId="3679"/>
    <cellStyle name="20% - Énfasis4 18 3" xfId="2964"/>
    <cellStyle name="20% - Énfasis4 19" xfId="676"/>
    <cellStyle name="20% - Énfasis4 19 2" xfId="1375"/>
    <cellStyle name="20% - Énfasis4 19 2 2" xfId="3695"/>
    <cellStyle name="20% - Énfasis4 19 3" xfId="2980"/>
    <cellStyle name="20% - Énfasis4 2" xfId="86"/>
    <cellStyle name="20% - Énfasis4 2 2" xfId="141"/>
    <cellStyle name="20% - Énfasis4 2 2 2" xfId="3406"/>
    <cellStyle name="20% - Énfasis4 2 3" xfId="270"/>
    <cellStyle name="20% - Énfasis4 2 3 2" xfId="2690"/>
    <cellStyle name="20% - Énfasis4 2 4" xfId="140"/>
    <cellStyle name="20% - Énfasis4 20" xfId="693"/>
    <cellStyle name="20% - Énfasis4 20 2" xfId="1392"/>
    <cellStyle name="20% - Énfasis4 20 2 2" xfId="3712"/>
    <cellStyle name="20% - Énfasis4 20 3" xfId="2997"/>
    <cellStyle name="20% - Énfasis4 21" xfId="711"/>
    <cellStyle name="20% - Énfasis4 21 2" xfId="1410"/>
    <cellStyle name="20% - Énfasis4 21 2 2" xfId="3730"/>
    <cellStyle name="20% - Énfasis4 21 3" xfId="3015"/>
    <cellStyle name="20% - Énfasis4 22" xfId="730"/>
    <cellStyle name="20% - Énfasis4 22 2" xfId="1429"/>
    <cellStyle name="20% - Énfasis4 22 2 2" xfId="3749"/>
    <cellStyle name="20% - Énfasis4 22 3" xfId="3034"/>
    <cellStyle name="20% - Énfasis4 23" xfId="749"/>
    <cellStyle name="20% - Énfasis4 23 2" xfId="1448"/>
    <cellStyle name="20% - Énfasis4 23 2 2" xfId="3768"/>
    <cellStyle name="20% - Énfasis4 23 3" xfId="3053"/>
    <cellStyle name="20% - Énfasis4 24" xfId="768"/>
    <cellStyle name="20% - Énfasis4 24 2" xfId="1467"/>
    <cellStyle name="20% - Énfasis4 24 2 2" xfId="3787"/>
    <cellStyle name="20% - Énfasis4 24 3" xfId="3072"/>
    <cellStyle name="20% - Énfasis4 25" xfId="791"/>
    <cellStyle name="20% - Énfasis4 25 2" xfId="1490"/>
    <cellStyle name="20% - Énfasis4 25 2 2" xfId="3810"/>
    <cellStyle name="20% - Énfasis4 25 3" xfId="3095"/>
    <cellStyle name="20% - Énfasis4 26" xfId="812"/>
    <cellStyle name="20% - Énfasis4 26 2" xfId="1511"/>
    <cellStyle name="20% - Énfasis4 26 2 2" xfId="3831"/>
    <cellStyle name="20% - Énfasis4 26 3" xfId="3116"/>
    <cellStyle name="20% - Énfasis4 27" xfId="832"/>
    <cellStyle name="20% - Énfasis4 27 2" xfId="1531"/>
    <cellStyle name="20% - Énfasis4 27 2 2" xfId="3851"/>
    <cellStyle name="20% - Énfasis4 27 3" xfId="3136"/>
    <cellStyle name="20% - Énfasis4 28" xfId="855"/>
    <cellStyle name="20% - Énfasis4 28 2" xfId="1554"/>
    <cellStyle name="20% - Énfasis4 28 2 2" xfId="3874"/>
    <cellStyle name="20% - Énfasis4 28 3" xfId="3159"/>
    <cellStyle name="20% - Énfasis4 29" xfId="875"/>
    <cellStyle name="20% - Énfasis4 29 2" xfId="1574"/>
    <cellStyle name="20% - Énfasis4 29 2 2" xfId="3894"/>
    <cellStyle name="20% - Énfasis4 29 3" xfId="3179"/>
    <cellStyle name="20% - Énfasis4 3" xfId="142"/>
    <cellStyle name="20% - Énfasis4 3 2" xfId="1101"/>
    <cellStyle name="20% - Énfasis4 3 2 2" xfId="3419"/>
    <cellStyle name="20% - Énfasis4 3 3" xfId="2703"/>
    <cellStyle name="20% - Énfasis4 30" xfId="897"/>
    <cellStyle name="20% - Énfasis4 30 2" xfId="1596"/>
    <cellStyle name="20% - Énfasis4 30 2 2" xfId="3916"/>
    <cellStyle name="20% - Énfasis4 30 3" xfId="3201"/>
    <cellStyle name="20% - Énfasis4 31" xfId="921"/>
    <cellStyle name="20% - Énfasis4 31 2" xfId="1620"/>
    <cellStyle name="20% - Énfasis4 31 2 2" xfId="3940"/>
    <cellStyle name="20% - Énfasis4 31 3" xfId="3225"/>
    <cellStyle name="20% - Énfasis4 32" xfId="936"/>
    <cellStyle name="20% - Énfasis4 32 2" xfId="1635"/>
    <cellStyle name="20% - Énfasis4 32 2 2" xfId="3955"/>
    <cellStyle name="20% - Énfasis4 32 3" xfId="3240"/>
    <cellStyle name="20% - Énfasis4 33" xfId="955"/>
    <cellStyle name="20% - Énfasis4 33 2" xfId="1654"/>
    <cellStyle name="20% - Énfasis4 33 2 2" xfId="3974"/>
    <cellStyle name="20% - Énfasis4 33 3" xfId="3259"/>
    <cellStyle name="20% - Énfasis4 34" xfId="974"/>
    <cellStyle name="20% - Énfasis4 34 2" xfId="1674"/>
    <cellStyle name="20% - Énfasis4 34 2 2" xfId="3994"/>
    <cellStyle name="20% - Énfasis4 34 3" xfId="3278"/>
    <cellStyle name="20% - Énfasis4 35" xfId="993"/>
    <cellStyle name="20% - Énfasis4 35 2" xfId="1693"/>
    <cellStyle name="20% - Énfasis4 35 2 2" xfId="4014"/>
    <cellStyle name="20% - Énfasis4 35 3" xfId="3299"/>
    <cellStyle name="20% - Énfasis4 36" xfId="1011"/>
    <cellStyle name="20% - Énfasis4 36 2" xfId="1711"/>
    <cellStyle name="20% - Énfasis4 36 2 2" xfId="4032"/>
    <cellStyle name="20% - Énfasis4 36 3" xfId="3317"/>
    <cellStyle name="20% - Énfasis4 37" xfId="1033"/>
    <cellStyle name="20% - Énfasis4 37 2" xfId="1733"/>
    <cellStyle name="20% - Énfasis4 37 2 2" xfId="4054"/>
    <cellStyle name="20% - Énfasis4 37 3" xfId="3339"/>
    <cellStyle name="20% - Énfasis4 38" xfId="1051"/>
    <cellStyle name="20% - Énfasis4 38 2" xfId="1751"/>
    <cellStyle name="20% - Énfasis4 38 2 2" xfId="4072"/>
    <cellStyle name="20% - Énfasis4 38 3" xfId="3357"/>
    <cellStyle name="20% - Énfasis4 39" xfId="1071"/>
    <cellStyle name="20% - Énfasis4 39 2" xfId="3377"/>
    <cellStyle name="20% - Énfasis4 4" xfId="143"/>
    <cellStyle name="20% - Énfasis4 4 2" xfId="1114"/>
    <cellStyle name="20% - Énfasis4 4 2 2" xfId="3432"/>
    <cellStyle name="20% - Énfasis4 4 3" xfId="2716"/>
    <cellStyle name="20% - Énfasis4 40" xfId="1085"/>
    <cellStyle name="20% - Énfasis4 40 2" xfId="3390"/>
    <cellStyle name="20% - Énfasis4 41" xfId="1770"/>
    <cellStyle name="20% - Énfasis4 41 2" xfId="4091"/>
    <cellStyle name="20% - Énfasis4 42" xfId="1791"/>
    <cellStyle name="20% - Énfasis4 42 2" xfId="4112"/>
    <cellStyle name="20% - Énfasis4 43" xfId="1816"/>
    <cellStyle name="20% - Énfasis4 43 2" xfId="4137"/>
    <cellStyle name="20% - Énfasis4 44" xfId="1830"/>
    <cellStyle name="20% - Énfasis4 44 2" xfId="4151"/>
    <cellStyle name="20% - Énfasis4 45" xfId="1847"/>
    <cellStyle name="20% - Énfasis4 45 2" xfId="4168"/>
    <cellStyle name="20% - Énfasis4 46" xfId="1866"/>
    <cellStyle name="20% - Énfasis4 46 2" xfId="4187"/>
    <cellStyle name="20% - Énfasis4 47" xfId="1888"/>
    <cellStyle name="20% - Énfasis4 47 2" xfId="4209"/>
    <cellStyle name="20% - Énfasis4 48" xfId="1905"/>
    <cellStyle name="20% - Énfasis4 48 2" xfId="4226"/>
    <cellStyle name="20% - Énfasis4 49" xfId="1918"/>
    <cellStyle name="20% - Énfasis4 49 2" xfId="4239"/>
    <cellStyle name="20% - Énfasis4 5" xfId="144"/>
    <cellStyle name="20% - Énfasis4 5 2" xfId="1127"/>
    <cellStyle name="20% - Énfasis4 5 2 2" xfId="3445"/>
    <cellStyle name="20% - Énfasis4 5 3" xfId="2729"/>
    <cellStyle name="20% - Énfasis4 5 4" xfId="432"/>
    <cellStyle name="20% - Énfasis4 50" xfId="1933"/>
    <cellStyle name="20% - Énfasis4 50 2" xfId="4254"/>
    <cellStyle name="20% - Énfasis4 51" xfId="1955"/>
    <cellStyle name="20% - Énfasis4 51 2" xfId="4276"/>
    <cellStyle name="20% - Énfasis4 52" xfId="1981"/>
    <cellStyle name="20% - Énfasis4 52 2" xfId="4302"/>
    <cellStyle name="20% - Énfasis4 53" xfId="2004"/>
    <cellStyle name="20% - Énfasis4 53 2" xfId="4325"/>
    <cellStyle name="20% - Énfasis4 54" xfId="2020"/>
    <cellStyle name="20% - Énfasis4 54 2" xfId="4341"/>
    <cellStyle name="20% - Énfasis4 55" xfId="2034"/>
    <cellStyle name="20% - Énfasis4 55 2" xfId="4355"/>
    <cellStyle name="20% - Énfasis4 56" xfId="2053"/>
    <cellStyle name="20% - Énfasis4 56 2" xfId="4374"/>
    <cellStyle name="20% - Énfasis4 57" xfId="2073"/>
    <cellStyle name="20% - Énfasis4 57 2" xfId="4394"/>
    <cellStyle name="20% - Énfasis4 58" xfId="2597"/>
    <cellStyle name="20% - Énfasis4 58 2" xfId="4415"/>
    <cellStyle name="20% - Énfasis4 59" xfId="2612"/>
    <cellStyle name="20% - Énfasis4 59 2" xfId="4430"/>
    <cellStyle name="20% - Énfasis4 6" xfId="444"/>
    <cellStyle name="20% - Énfasis4 6 2" xfId="1140"/>
    <cellStyle name="20% - Énfasis4 6 2 2" xfId="3458"/>
    <cellStyle name="20% - Énfasis4 6 3" xfId="2742"/>
    <cellStyle name="20% - Énfasis4 60" xfId="2631"/>
    <cellStyle name="20% - Énfasis4 60 2" xfId="4449"/>
    <cellStyle name="20% - Énfasis4 61" xfId="2647"/>
    <cellStyle name="20% - Énfasis4 61 2" xfId="4465"/>
    <cellStyle name="20% - Énfasis4 62" xfId="2662"/>
    <cellStyle name="20% - Énfasis4 62 2" xfId="4480"/>
    <cellStyle name="20% - Énfasis4 63" xfId="2675"/>
    <cellStyle name="20% - Énfasis4 7" xfId="457"/>
    <cellStyle name="20% - Énfasis4 7 2" xfId="1153"/>
    <cellStyle name="20% - Énfasis4 7 2 2" xfId="3472"/>
    <cellStyle name="20% - Énfasis4 7 3" xfId="2756"/>
    <cellStyle name="20% - Énfasis4 8" xfId="470"/>
    <cellStyle name="20% - Énfasis4 8 2" xfId="1166"/>
    <cellStyle name="20% - Énfasis4 8 2 2" xfId="3485"/>
    <cellStyle name="20% - Énfasis4 8 3" xfId="2769"/>
    <cellStyle name="20% - Énfasis4 9" xfId="483"/>
    <cellStyle name="20% - Énfasis4 9 2" xfId="1181"/>
    <cellStyle name="20% - Énfasis4 9 2 2" xfId="3502"/>
    <cellStyle name="20% - Énfasis4 9 3" xfId="2786"/>
    <cellStyle name="20% - Énfasis5" xfId="40" builtinId="46" customBuiltin="1"/>
    <cellStyle name="20% - Énfasis5 10" xfId="506"/>
    <cellStyle name="20% - Énfasis5 10 2" xfId="1204"/>
    <cellStyle name="20% - Énfasis5 10 2 2" xfId="3524"/>
    <cellStyle name="20% - Énfasis5 10 3" xfId="2809"/>
    <cellStyle name="20% - Énfasis5 11" xfId="532"/>
    <cellStyle name="20% - Énfasis5 11 2" xfId="1231"/>
    <cellStyle name="20% - Énfasis5 11 2 2" xfId="3551"/>
    <cellStyle name="20% - Énfasis5 11 3" xfId="2836"/>
    <cellStyle name="20% - Énfasis5 12" xfId="563"/>
    <cellStyle name="20% - Énfasis5 12 2" xfId="1262"/>
    <cellStyle name="20% - Énfasis5 12 2 2" xfId="3582"/>
    <cellStyle name="20% - Énfasis5 12 3" xfId="2867"/>
    <cellStyle name="20% - Énfasis5 13" xfId="586"/>
    <cellStyle name="20% - Énfasis5 13 2" xfId="1285"/>
    <cellStyle name="20% - Énfasis5 13 2 2" xfId="3605"/>
    <cellStyle name="20% - Énfasis5 13 3" xfId="2890"/>
    <cellStyle name="20% - Énfasis5 14" xfId="602"/>
    <cellStyle name="20% - Énfasis5 14 2" xfId="1301"/>
    <cellStyle name="20% - Énfasis5 14 2 2" xfId="3621"/>
    <cellStyle name="20% - Énfasis5 14 3" xfId="2906"/>
    <cellStyle name="20% - Énfasis5 15" xfId="615"/>
    <cellStyle name="20% - Énfasis5 15 2" xfId="1314"/>
    <cellStyle name="20% - Énfasis5 15 2 2" xfId="3634"/>
    <cellStyle name="20% - Énfasis5 15 3" xfId="2919"/>
    <cellStyle name="20% - Énfasis5 16" xfId="628"/>
    <cellStyle name="20% - Énfasis5 16 2" xfId="1327"/>
    <cellStyle name="20% - Énfasis5 16 2 2" xfId="3647"/>
    <cellStyle name="20% - Énfasis5 16 3" xfId="2932"/>
    <cellStyle name="20% - Énfasis5 17" xfId="645"/>
    <cellStyle name="20% - Énfasis5 17 2" xfId="1344"/>
    <cellStyle name="20% - Énfasis5 17 2 2" xfId="3664"/>
    <cellStyle name="20% - Énfasis5 17 3" xfId="2949"/>
    <cellStyle name="20% - Énfasis5 18" xfId="662"/>
    <cellStyle name="20% - Énfasis5 18 2" xfId="1361"/>
    <cellStyle name="20% - Énfasis5 18 2 2" xfId="3681"/>
    <cellStyle name="20% - Énfasis5 18 3" xfId="2966"/>
    <cellStyle name="20% - Énfasis5 19" xfId="678"/>
    <cellStyle name="20% - Énfasis5 19 2" xfId="1377"/>
    <cellStyle name="20% - Énfasis5 19 2 2" xfId="3697"/>
    <cellStyle name="20% - Énfasis5 19 3" xfId="2982"/>
    <cellStyle name="20% - Énfasis5 2" xfId="70"/>
    <cellStyle name="20% - Énfasis5 2 2" xfId="145"/>
    <cellStyle name="20% - Énfasis5 2 2 2" xfId="3408"/>
    <cellStyle name="20% - Énfasis5 2 3" xfId="2692"/>
    <cellStyle name="20% - Énfasis5 20" xfId="695"/>
    <cellStyle name="20% - Énfasis5 20 2" xfId="1394"/>
    <cellStyle name="20% - Énfasis5 20 2 2" xfId="3714"/>
    <cellStyle name="20% - Énfasis5 20 3" xfId="2999"/>
    <cellStyle name="20% - Énfasis5 21" xfId="713"/>
    <cellStyle name="20% - Énfasis5 21 2" xfId="1412"/>
    <cellStyle name="20% - Énfasis5 21 2 2" xfId="3732"/>
    <cellStyle name="20% - Énfasis5 21 3" xfId="3017"/>
    <cellStyle name="20% - Énfasis5 22" xfId="732"/>
    <cellStyle name="20% - Énfasis5 22 2" xfId="1431"/>
    <cellStyle name="20% - Énfasis5 22 2 2" xfId="3751"/>
    <cellStyle name="20% - Énfasis5 22 3" xfId="3036"/>
    <cellStyle name="20% - Énfasis5 23" xfId="751"/>
    <cellStyle name="20% - Énfasis5 23 2" xfId="1450"/>
    <cellStyle name="20% - Énfasis5 23 2 2" xfId="3770"/>
    <cellStyle name="20% - Énfasis5 23 3" xfId="3055"/>
    <cellStyle name="20% - Énfasis5 24" xfId="770"/>
    <cellStyle name="20% - Énfasis5 24 2" xfId="1469"/>
    <cellStyle name="20% - Énfasis5 24 2 2" xfId="3789"/>
    <cellStyle name="20% - Énfasis5 24 3" xfId="3074"/>
    <cellStyle name="20% - Énfasis5 25" xfId="793"/>
    <cellStyle name="20% - Énfasis5 25 2" xfId="1492"/>
    <cellStyle name="20% - Énfasis5 25 2 2" xfId="3812"/>
    <cellStyle name="20% - Énfasis5 25 3" xfId="3097"/>
    <cellStyle name="20% - Énfasis5 26" xfId="814"/>
    <cellStyle name="20% - Énfasis5 26 2" xfId="1513"/>
    <cellStyle name="20% - Énfasis5 26 2 2" xfId="3833"/>
    <cellStyle name="20% - Énfasis5 26 3" xfId="3118"/>
    <cellStyle name="20% - Énfasis5 27" xfId="834"/>
    <cellStyle name="20% - Énfasis5 27 2" xfId="1533"/>
    <cellStyle name="20% - Énfasis5 27 2 2" xfId="3853"/>
    <cellStyle name="20% - Énfasis5 27 3" xfId="3138"/>
    <cellStyle name="20% - Énfasis5 28" xfId="857"/>
    <cellStyle name="20% - Énfasis5 28 2" xfId="1556"/>
    <cellStyle name="20% - Énfasis5 28 2 2" xfId="3876"/>
    <cellStyle name="20% - Énfasis5 28 3" xfId="3161"/>
    <cellStyle name="20% - Énfasis5 29" xfId="877"/>
    <cellStyle name="20% - Énfasis5 29 2" xfId="1576"/>
    <cellStyle name="20% - Énfasis5 29 2 2" xfId="3896"/>
    <cellStyle name="20% - Énfasis5 29 3" xfId="3181"/>
    <cellStyle name="20% - Énfasis5 3" xfId="146"/>
    <cellStyle name="20% - Énfasis5 3 2" xfId="1103"/>
    <cellStyle name="20% - Énfasis5 3 2 2" xfId="3421"/>
    <cellStyle name="20% - Énfasis5 3 3" xfId="2705"/>
    <cellStyle name="20% - Énfasis5 30" xfId="899"/>
    <cellStyle name="20% - Énfasis5 30 2" xfId="1598"/>
    <cellStyle name="20% - Énfasis5 30 2 2" xfId="3918"/>
    <cellStyle name="20% - Énfasis5 30 3" xfId="3203"/>
    <cellStyle name="20% - Énfasis5 31" xfId="923"/>
    <cellStyle name="20% - Énfasis5 31 2" xfId="1622"/>
    <cellStyle name="20% - Énfasis5 31 2 2" xfId="3942"/>
    <cellStyle name="20% - Énfasis5 31 3" xfId="3227"/>
    <cellStyle name="20% - Énfasis5 32" xfId="938"/>
    <cellStyle name="20% - Énfasis5 32 2" xfId="1637"/>
    <cellStyle name="20% - Énfasis5 32 2 2" xfId="3957"/>
    <cellStyle name="20% - Énfasis5 32 3" xfId="3242"/>
    <cellStyle name="20% - Énfasis5 33" xfId="957"/>
    <cellStyle name="20% - Énfasis5 33 2" xfId="1656"/>
    <cellStyle name="20% - Énfasis5 33 2 2" xfId="3976"/>
    <cellStyle name="20% - Énfasis5 33 3" xfId="3261"/>
    <cellStyle name="20% - Énfasis5 34" xfId="976"/>
    <cellStyle name="20% - Énfasis5 34 2" xfId="1676"/>
    <cellStyle name="20% - Énfasis5 34 2 2" xfId="3996"/>
    <cellStyle name="20% - Énfasis5 34 3" xfId="3280"/>
    <cellStyle name="20% - Énfasis5 35" xfId="995"/>
    <cellStyle name="20% - Énfasis5 35 2" xfId="1695"/>
    <cellStyle name="20% - Énfasis5 35 2 2" xfId="4016"/>
    <cellStyle name="20% - Énfasis5 35 3" xfId="3301"/>
    <cellStyle name="20% - Énfasis5 36" xfId="1013"/>
    <cellStyle name="20% - Énfasis5 36 2" xfId="1713"/>
    <cellStyle name="20% - Énfasis5 36 2 2" xfId="4034"/>
    <cellStyle name="20% - Énfasis5 36 3" xfId="3319"/>
    <cellStyle name="20% - Énfasis5 37" xfId="1035"/>
    <cellStyle name="20% - Énfasis5 37 2" xfId="1735"/>
    <cellStyle name="20% - Énfasis5 37 2 2" xfId="4056"/>
    <cellStyle name="20% - Énfasis5 37 3" xfId="3341"/>
    <cellStyle name="20% - Énfasis5 38" xfId="1053"/>
    <cellStyle name="20% - Énfasis5 38 2" xfId="1753"/>
    <cellStyle name="20% - Énfasis5 38 2 2" xfId="4074"/>
    <cellStyle name="20% - Énfasis5 38 3" xfId="3359"/>
    <cellStyle name="20% - Énfasis5 39" xfId="1073"/>
    <cellStyle name="20% - Énfasis5 39 2" xfId="3379"/>
    <cellStyle name="20% - Énfasis5 4" xfId="147"/>
    <cellStyle name="20% - Énfasis5 4 2" xfId="1116"/>
    <cellStyle name="20% - Énfasis5 4 2 2" xfId="3434"/>
    <cellStyle name="20% - Énfasis5 4 3" xfId="2718"/>
    <cellStyle name="20% - Énfasis5 40" xfId="1087"/>
    <cellStyle name="20% - Énfasis5 40 2" xfId="3392"/>
    <cellStyle name="20% - Énfasis5 41" xfId="1772"/>
    <cellStyle name="20% - Énfasis5 41 2" xfId="4093"/>
    <cellStyle name="20% - Énfasis5 42" xfId="1793"/>
    <cellStyle name="20% - Énfasis5 42 2" xfId="4114"/>
    <cellStyle name="20% - Énfasis5 43" xfId="1818"/>
    <cellStyle name="20% - Énfasis5 43 2" xfId="4139"/>
    <cellStyle name="20% - Énfasis5 44" xfId="1832"/>
    <cellStyle name="20% - Énfasis5 44 2" xfId="4153"/>
    <cellStyle name="20% - Énfasis5 45" xfId="1849"/>
    <cellStyle name="20% - Énfasis5 45 2" xfId="4170"/>
    <cellStyle name="20% - Énfasis5 46" xfId="1868"/>
    <cellStyle name="20% - Énfasis5 46 2" xfId="4189"/>
    <cellStyle name="20% - Énfasis5 47" xfId="1890"/>
    <cellStyle name="20% - Énfasis5 47 2" xfId="4211"/>
    <cellStyle name="20% - Énfasis5 48" xfId="1907"/>
    <cellStyle name="20% - Énfasis5 48 2" xfId="4228"/>
    <cellStyle name="20% - Énfasis5 49" xfId="1920"/>
    <cellStyle name="20% - Énfasis5 49 2" xfId="4241"/>
    <cellStyle name="20% - Énfasis5 5" xfId="434"/>
    <cellStyle name="20% - Énfasis5 5 2" xfId="1129"/>
    <cellStyle name="20% - Énfasis5 5 2 2" xfId="3447"/>
    <cellStyle name="20% - Énfasis5 5 3" xfId="2731"/>
    <cellStyle name="20% - Énfasis5 50" xfId="1935"/>
    <cellStyle name="20% - Énfasis5 50 2" xfId="4256"/>
    <cellStyle name="20% - Énfasis5 51" xfId="1957"/>
    <cellStyle name="20% - Énfasis5 51 2" xfId="4278"/>
    <cellStyle name="20% - Énfasis5 52" xfId="1984"/>
    <cellStyle name="20% - Énfasis5 52 2" xfId="4305"/>
    <cellStyle name="20% - Énfasis5 53" xfId="2006"/>
    <cellStyle name="20% - Énfasis5 53 2" xfId="4327"/>
    <cellStyle name="20% - Énfasis5 54" xfId="2022"/>
    <cellStyle name="20% - Énfasis5 54 2" xfId="4343"/>
    <cellStyle name="20% - Énfasis5 55" xfId="2036"/>
    <cellStyle name="20% - Énfasis5 55 2" xfId="4357"/>
    <cellStyle name="20% - Énfasis5 56" xfId="2055"/>
    <cellStyle name="20% - Énfasis5 56 2" xfId="4376"/>
    <cellStyle name="20% - Énfasis5 57" xfId="2075"/>
    <cellStyle name="20% - Énfasis5 57 2" xfId="4396"/>
    <cellStyle name="20% - Énfasis5 58" xfId="2599"/>
    <cellStyle name="20% - Énfasis5 58 2" xfId="4417"/>
    <cellStyle name="20% - Énfasis5 59" xfId="2614"/>
    <cellStyle name="20% - Énfasis5 59 2" xfId="4432"/>
    <cellStyle name="20% - Énfasis5 6" xfId="446"/>
    <cellStyle name="20% - Énfasis5 6 2" xfId="1142"/>
    <cellStyle name="20% - Énfasis5 6 2 2" xfId="3460"/>
    <cellStyle name="20% - Énfasis5 6 3" xfId="2744"/>
    <cellStyle name="20% - Énfasis5 60" xfId="2633"/>
    <cellStyle name="20% - Énfasis5 60 2" xfId="4451"/>
    <cellStyle name="20% - Énfasis5 61" xfId="2649"/>
    <cellStyle name="20% - Énfasis5 61 2" xfId="4467"/>
    <cellStyle name="20% - Énfasis5 62" xfId="2664"/>
    <cellStyle name="20% - Énfasis5 62 2" xfId="4482"/>
    <cellStyle name="20% - Énfasis5 63" xfId="2677"/>
    <cellStyle name="20% - Énfasis5 7" xfId="459"/>
    <cellStyle name="20% - Énfasis5 7 2" xfId="1155"/>
    <cellStyle name="20% - Énfasis5 7 2 2" xfId="3474"/>
    <cellStyle name="20% - Énfasis5 7 3" xfId="2758"/>
    <cellStyle name="20% - Énfasis5 8" xfId="472"/>
    <cellStyle name="20% - Énfasis5 8 2" xfId="1168"/>
    <cellStyle name="20% - Énfasis5 8 2 2" xfId="3487"/>
    <cellStyle name="20% - Énfasis5 8 3" xfId="2771"/>
    <cellStyle name="20% - Énfasis5 9" xfId="485"/>
    <cellStyle name="20% - Énfasis5 9 2" xfId="1183"/>
    <cellStyle name="20% - Énfasis5 9 2 2" xfId="3504"/>
    <cellStyle name="20% - Énfasis5 9 3" xfId="2788"/>
    <cellStyle name="20% - Énfasis6" xfId="44" builtinId="50" customBuiltin="1"/>
    <cellStyle name="20% - Énfasis6 10" xfId="508"/>
    <cellStyle name="20% - Énfasis6 10 2" xfId="1206"/>
    <cellStyle name="20% - Énfasis6 10 2 2" xfId="3526"/>
    <cellStyle name="20% - Énfasis6 10 3" xfId="2811"/>
    <cellStyle name="20% - Énfasis6 11" xfId="534"/>
    <cellStyle name="20% - Énfasis6 11 2" xfId="1233"/>
    <cellStyle name="20% - Énfasis6 11 2 2" xfId="3553"/>
    <cellStyle name="20% - Énfasis6 11 3" xfId="2838"/>
    <cellStyle name="20% - Énfasis6 12" xfId="565"/>
    <cellStyle name="20% - Énfasis6 12 2" xfId="1264"/>
    <cellStyle name="20% - Énfasis6 12 2 2" xfId="3584"/>
    <cellStyle name="20% - Énfasis6 12 3" xfId="2869"/>
    <cellStyle name="20% - Énfasis6 13" xfId="588"/>
    <cellStyle name="20% - Énfasis6 13 2" xfId="1287"/>
    <cellStyle name="20% - Énfasis6 13 2 2" xfId="3607"/>
    <cellStyle name="20% - Énfasis6 13 3" xfId="2892"/>
    <cellStyle name="20% - Énfasis6 14" xfId="604"/>
    <cellStyle name="20% - Énfasis6 14 2" xfId="1303"/>
    <cellStyle name="20% - Énfasis6 14 2 2" xfId="3623"/>
    <cellStyle name="20% - Énfasis6 14 3" xfId="2908"/>
    <cellStyle name="20% - Énfasis6 15" xfId="617"/>
    <cellStyle name="20% - Énfasis6 15 2" xfId="1316"/>
    <cellStyle name="20% - Énfasis6 15 2 2" xfId="3636"/>
    <cellStyle name="20% - Énfasis6 15 3" xfId="2921"/>
    <cellStyle name="20% - Énfasis6 16" xfId="630"/>
    <cellStyle name="20% - Énfasis6 16 2" xfId="1329"/>
    <cellStyle name="20% - Énfasis6 16 2 2" xfId="3649"/>
    <cellStyle name="20% - Énfasis6 16 3" xfId="2934"/>
    <cellStyle name="20% - Énfasis6 17" xfId="647"/>
    <cellStyle name="20% - Énfasis6 17 2" xfId="1346"/>
    <cellStyle name="20% - Énfasis6 17 2 2" xfId="3666"/>
    <cellStyle name="20% - Énfasis6 17 3" xfId="2951"/>
    <cellStyle name="20% - Énfasis6 18" xfId="664"/>
    <cellStyle name="20% - Énfasis6 18 2" xfId="1363"/>
    <cellStyle name="20% - Énfasis6 18 2 2" xfId="3683"/>
    <cellStyle name="20% - Énfasis6 18 3" xfId="2968"/>
    <cellStyle name="20% - Énfasis6 19" xfId="680"/>
    <cellStyle name="20% - Énfasis6 19 2" xfId="1379"/>
    <cellStyle name="20% - Énfasis6 19 2 2" xfId="3699"/>
    <cellStyle name="20% - Énfasis6 19 3" xfId="2984"/>
    <cellStyle name="20% - Énfasis6 2" xfId="76"/>
    <cellStyle name="20% - Énfasis6 2 2" xfId="148"/>
    <cellStyle name="20% - Énfasis6 2 2 2" xfId="3410"/>
    <cellStyle name="20% - Énfasis6 2 3" xfId="2694"/>
    <cellStyle name="20% - Énfasis6 20" xfId="697"/>
    <cellStyle name="20% - Énfasis6 20 2" xfId="1396"/>
    <cellStyle name="20% - Énfasis6 20 2 2" xfId="3716"/>
    <cellStyle name="20% - Énfasis6 20 3" xfId="3001"/>
    <cellStyle name="20% - Énfasis6 21" xfId="715"/>
    <cellStyle name="20% - Énfasis6 21 2" xfId="1414"/>
    <cellStyle name="20% - Énfasis6 21 2 2" xfId="3734"/>
    <cellStyle name="20% - Énfasis6 21 3" xfId="3019"/>
    <cellStyle name="20% - Énfasis6 22" xfId="734"/>
    <cellStyle name="20% - Énfasis6 22 2" xfId="1433"/>
    <cellStyle name="20% - Énfasis6 22 2 2" xfId="3753"/>
    <cellStyle name="20% - Énfasis6 22 3" xfId="3038"/>
    <cellStyle name="20% - Énfasis6 23" xfId="753"/>
    <cellStyle name="20% - Énfasis6 23 2" xfId="1452"/>
    <cellStyle name="20% - Énfasis6 23 2 2" xfId="3772"/>
    <cellStyle name="20% - Énfasis6 23 3" xfId="3057"/>
    <cellStyle name="20% - Énfasis6 24" xfId="772"/>
    <cellStyle name="20% - Énfasis6 24 2" xfId="1471"/>
    <cellStyle name="20% - Énfasis6 24 2 2" xfId="3791"/>
    <cellStyle name="20% - Énfasis6 24 3" xfId="3076"/>
    <cellStyle name="20% - Énfasis6 25" xfId="795"/>
    <cellStyle name="20% - Énfasis6 25 2" xfId="1494"/>
    <cellStyle name="20% - Énfasis6 25 2 2" xfId="3814"/>
    <cellStyle name="20% - Énfasis6 25 3" xfId="3099"/>
    <cellStyle name="20% - Énfasis6 26" xfId="816"/>
    <cellStyle name="20% - Énfasis6 26 2" xfId="1515"/>
    <cellStyle name="20% - Énfasis6 26 2 2" xfId="3835"/>
    <cellStyle name="20% - Énfasis6 26 3" xfId="3120"/>
    <cellStyle name="20% - Énfasis6 27" xfId="836"/>
    <cellStyle name="20% - Énfasis6 27 2" xfId="1535"/>
    <cellStyle name="20% - Énfasis6 27 2 2" xfId="3855"/>
    <cellStyle name="20% - Énfasis6 27 3" xfId="3140"/>
    <cellStyle name="20% - Énfasis6 28" xfId="859"/>
    <cellStyle name="20% - Énfasis6 28 2" xfId="1558"/>
    <cellStyle name="20% - Énfasis6 28 2 2" xfId="3878"/>
    <cellStyle name="20% - Énfasis6 28 3" xfId="3163"/>
    <cellStyle name="20% - Énfasis6 29" xfId="879"/>
    <cellStyle name="20% - Énfasis6 29 2" xfId="1578"/>
    <cellStyle name="20% - Énfasis6 29 2 2" xfId="3898"/>
    <cellStyle name="20% - Énfasis6 29 3" xfId="3183"/>
    <cellStyle name="20% - Énfasis6 3" xfId="149"/>
    <cellStyle name="20% - Énfasis6 3 2" xfId="1105"/>
    <cellStyle name="20% - Énfasis6 3 2 2" xfId="3423"/>
    <cellStyle name="20% - Énfasis6 3 3" xfId="2707"/>
    <cellStyle name="20% - Énfasis6 30" xfId="901"/>
    <cellStyle name="20% - Énfasis6 30 2" xfId="1600"/>
    <cellStyle name="20% - Énfasis6 30 2 2" xfId="3920"/>
    <cellStyle name="20% - Énfasis6 30 3" xfId="3205"/>
    <cellStyle name="20% - Énfasis6 31" xfId="925"/>
    <cellStyle name="20% - Énfasis6 31 2" xfId="1624"/>
    <cellStyle name="20% - Énfasis6 31 2 2" xfId="3944"/>
    <cellStyle name="20% - Énfasis6 31 3" xfId="3229"/>
    <cellStyle name="20% - Énfasis6 32" xfId="940"/>
    <cellStyle name="20% - Énfasis6 32 2" xfId="1639"/>
    <cellStyle name="20% - Énfasis6 32 2 2" xfId="3959"/>
    <cellStyle name="20% - Énfasis6 32 3" xfId="3244"/>
    <cellStyle name="20% - Énfasis6 33" xfId="959"/>
    <cellStyle name="20% - Énfasis6 33 2" xfId="1658"/>
    <cellStyle name="20% - Énfasis6 33 2 2" xfId="3978"/>
    <cellStyle name="20% - Énfasis6 33 3" xfId="3263"/>
    <cellStyle name="20% - Énfasis6 34" xfId="978"/>
    <cellStyle name="20% - Énfasis6 34 2" xfId="1678"/>
    <cellStyle name="20% - Énfasis6 34 2 2" xfId="3998"/>
    <cellStyle name="20% - Énfasis6 34 3" xfId="3282"/>
    <cellStyle name="20% - Énfasis6 35" xfId="997"/>
    <cellStyle name="20% - Énfasis6 35 2" xfId="1697"/>
    <cellStyle name="20% - Énfasis6 35 2 2" xfId="4018"/>
    <cellStyle name="20% - Énfasis6 35 3" xfId="3303"/>
    <cellStyle name="20% - Énfasis6 36" xfId="1015"/>
    <cellStyle name="20% - Énfasis6 36 2" xfId="1715"/>
    <cellStyle name="20% - Énfasis6 36 2 2" xfId="4036"/>
    <cellStyle name="20% - Énfasis6 36 3" xfId="3321"/>
    <cellStyle name="20% - Énfasis6 37" xfId="1037"/>
    <cellStyle name="20% - Énfasis6 37 2" xfId="1737"/>
    <cellStyle name="20% - Énfasis6 37 2 2" xfId="4058"/>
    <cellStyle name="20% - Énfasis6 37 3" xfId="3343"/>
    <cellStyle name="20% - Énfasis6 38" xfId="1055"/>
    <cellStyle name="20% - Énfasis6 38 2" xfId="1755"/>
    <cellStyle name="20% - Énfasis6 38 2 2" xfId="4076"/>
    <cellStyle name="20% - Énfasis6 38 3" xfId="3361"/>
    <cellStyle name="20% - Énfasis6 39" xfId="1075"/>
    <cellStyle name="20% - Énfasis6 39 2" xfId="3381"/>
    <cellStyle name="20% - Énfasis6 4" xfId="150"/>
    <cellStyle name="20% - Énfasis6 4 2" xfId="1118"/>
    <cellStyle name="20% - Énfasis6 4 2 2" xfId="3436"/>
    <cellStyle name="20% - Énfasis6 4 3" xfId="2720"/>
    <cellStyle name="20% - Énfasis6 40" xfId="1089"/>
    <cellStyle name="20% - Énfasis6 40 2" xfId="3394"/>
    <cellStyle name="20% - Énfasis6 41" xfId="1774"/>
    <cellStyle name="20% - Énfasis6 41 2" xfId="4095"/>
    <cellStyle name="20% - Énfasis6 42" xfId="1795"/>
    <cellStyle name="20% - Énfasis6 42 2" xfId="4116"/>
    <cellStyle name="20% - Énfasis6 43" xfId="1820"/>
    <cellStyle name="20% - Énfasis6 43 2" xfId="4141"/>
    <cellStyle name="20% - Énfasis6 44" xfId="1834"/>
    <cellStyle name="20% - Énfasis6 44 2" xfId="4155"/>
    <cellStyle name="20% - Énfasis6 45" xfId="1851"/>
    <cellStyle name="20% - Énfasis6 45 2" xfId="4172"/>
    <cellStyle name="20% - Énfasis6 46" xfId="1870"/>
    <cellStyle name="20% - Énfasis6 46 2" xfId="4191"/>
    <cellStyle name="20% - Énfasis6 47" xfId="1892"/>
    <cellStyle name="20% - Énfasis6 47 2" xfId="4213"/>
    <cellStyle name="20% - Énfasis6 48" xfId="1909"/>
    <cellStyle name="20% - Énfasis6 48 2" xfId="4230"/>
    <cellStyle name="20% - Énfasis6 49" xfId="1922"/>
    <cellStyle name="20% - Énfasis6 49 2" xfId="4243"/>
    <cellStyle name="20% - Énfasis6 5" xfId="436"/>
    <cellStyle name="20% - Énfasis6 5 2" xfId="1131"/>
    <cellStyle name="20% - Énfasis6 5 2 2" xfId="3449"/>
    <cellStyle name="20% - Énfasis6 5 3" xfId="2733"/>
    <cellStyle name="20% - Énfasis6 50" xfId="1937"/>
    <cellStyle name="20% - Énfasis6 50 2" xfId="4258"/>
    <cellStyle name="20% - Énfasis6 51" xfId="1959"/>
    <cellStyle name="20% - Énfasis6 51 2" xfId="4280"/>
    <cellStyle name="20% - Énfasis6 52" xfId="1988"/>
    <cellStyle name="20% - Énfasis6 52 2" xfId="4309"/>
    <cellStyle name="20% - Énfasis6 53" xfId="2008"/>
    <cellStyle name="20% - Énfasis6 53 2" xfId="4329"/>
    <cellStyle name="20% - Énfasis6 54" xfId="2024"/>
    <cellStyle name="20% - Énfasis6 54 2" xfId="4345"/>
    <cellStyle name="20% - Énfasis6 55" xfId="2038"/>
    <cellStyle name="20% - Énfasis6 55 2" xfId="4359"/>
    <cellStyle name="20% - Énfasis6 56" xfId="2057"/>
    <cellStyle name="20% - Énfasis6 56 2" xfId="4378"/>
    <cellStyle name="20% - Énfasis6 57" xfId="2077"/>
    <cellStyle name="20% - Énfasis6 57 2" xfId="4398"/>
    <cellStyle name="20% - Énfasis6 58" xfId="2601"/>
    <cellStyle name="20% - Énfasis6 58 2" xfId="4419"/>
    <cellStyle name="20% - Énfasis6 59" xfId="2616"/>
    <cellStyle name="20% - Énfasis6 59 2" xfId="4434"/>
    <cellStyle name="20% - Énfasis6 6" xfId="448"/>
    <cellStyle name="20% - Énfasis6 6 2" xfId="1144"/>
    <cellStyle name="20% - Énfasis6 6 2 2" xfId="3462"/>
    <cellStyle name="20% - Énfasis6 6 3" xfId="2746"/>
    <cellStyle name="20% - Énfasis6 60" xfId="2635"/>
    <cellStyle name="20% - Énfasis6 60 2" xfId="4453"/>
    <cellStyle name="20% - Énfasis6 61" xfId="2651"/>
    <cellStyle name="20% - Énfasis6 61 2" xfId="4469"/>
    <cellStyle name="20% - Énfasis6 62" xfId="2666"/>
    <cellStyle name="20% - Énfasis6 62 2" xfId="4484"/>
    <cellStyle name="20% - Énfasis6 63" xfId="2679"/>
    <cellStyle name="20% - Énfasis6 7" xfId="461"/>
    <cellStyle name="20% - Énfasis6 7 2" xfId="1157"/>
    <cellStyle name="20% - Énfasis6 7 2 2" xfId="3476"/>
    <cellStyle name="20% - Énfasis6 7 3" xfId="2760"/>
    <cellStyle name="20% - Énfasis6 8" xfId="474"/>
    <cellStyle name="20% - Énfasis6 8 2" xfId="1170"/>
    <cellStyle name="20% - Énfasis6 8 2 2" xfId="3489"/>
    <cellStyle name="20% - Énfasis6 8 3" xfId="2773"/>
    <cellStyle name="20% - Énfasis6 9" xfId="487"/>
    <cellStyle name="20% - Énfasis6 9 2" xfId="1185"/>
    <cellStyle name="20% - Énfasis6 9 2 2" xfId="3506"/>
    <cellStyle name="20% - Énfasis6 9 3" xfId="2790"/>
    <cellStyle name="40% - Énfasis1" xfId="25" builtinId="31" customBuiltin="1"/>
    <cellStyle name="40% - Énfasis1 10" xfId="498"/>
    <cellStyle name="40% - Énfasis1 10 2" xfId="1196"/>
    <cellStyle name="40% - Énfasis1 10 2 2" xfId="3516"/>
    <cellStyle name="40% - Énfasis1 10 3" xfId="2801"/>
    <cellStyle name="40% - Énfasis1 11" xfId="523"/>
    <cellStyle name="40% - Énfasis1 11 2" xfId="1222"/>
    <cellStyle name="40% - Énfasis1 11 2 2" xfId="3542"/>
    <cellStyle name="40% - Énfasis1 11 3" xfId="2827"/>
    <cellStyle name="40% - Énfasis1 12" xfId="556"/>
    <cellStyle name="40% - Énfasis1 12 2" xfId="1255"/>
    <cellStyle name="40% - Énfasis1 12 2 2" xfId="3575"/>
    <cellStyle name="40% - Énfasis1 12 3" xfId="2860"/>
    <cellStyle name="40% - Énfasis1 13" xfId="577"/>
    <cellStyle name="40% - Énfasis1 13 2" xfId="1276"/>
    <cellStyle name="40% - Énfasis1 13 2 2" xfId="3596"/>
    <cellStyle name="40% - Énfasis1 13 3" xfId="2881"/>
    <cellStyle name="40% - Énfasis1 14" xfId="595"/>
    <cellStyle name="40% - Énfasis1 14 2" xfId="1294"/>
    <cellStyle name="40% - Énfasis1 14 2 2" xfId="3614"/>
    <cellStyle name="40% - Énfasis1 14 3" xfId="2899"/>
    <cellStyle name="40% - Énfasis1 15" xfId="608"/>
    <cellStyle name="40% - Énfasis1 15 2" xfId="1307"/>
    <cellStyle name="40% - Énfasis1 15 2 2" xfId="3627"/>
    <cellStyle name="40% - Énfasis1 15 3" xfId="2912"/>
    <cellStyle name="40% - Énfasis1 16" xfId="621"/>
    <cellStyle name="40% - Énfasis1 16 2" xfId="1320"/>
    <cellStyle name="40% - Énfasis1 16 2 2" xfId="3640"/>
    <cellStyle name="40% - Énfasis1 16 3" xfId="2925"/>
    <cellStyle name="40% - Énfasis1 17" xfId="638"/>
    <cellStyle name="40% - Énfasis1 17 2" xfId="1337"/>
    <cellStyle name="40% - Énfasis1 17 2 2" xfId="3657"/>
    <cellStyle name="40% - Énfasis1 17 3" xfId="2942"/>
    <cellStyle name="40% - Énfasis1 18" xfId="655"/>
    <cellStyle name="40% - Énfasis1 18 2" xfId="1354"/>
    <cellStyle name="40% - Énfasis1 18 2 2" xfId="3674"/>
    <cellStyle name="40% - Énfasis1 18 3" xfId="2959"/>
    <cellStyle name="40% - Énfasis1 19" xfId="671"/>
    <cellStyle name="40% - Énfasis1 19 2" xfId="1370"/>
    <cellStyle name="40% - Énfasis1 19 2 2" xfId="3690"/>
    <cellStyle name="40% - Énfasis1 19 3" xfId="2975"/>
    <cellStyle name="40% - Énfasis1 2" xfId="64"/>
    <cellStyle name="40% - Énfasis1 2 2" xfId="152"/>
    <cellStyle name="40% - Énfasis1 2 2 2" xfId="3401"/>
    <cellStyle name="40% - Énfasis1 2 3" xfId="271"/>
    <cellStyle name="40% - Énfasis1 2 3 2" xfId="2685"/>
    <cellStyle name="40% - Énfasis1 2 4" xfId="151"/>
    <cellStyle name="40% - Énfasis1 20" xfId="688"/>
    <cellStyle name="40% - Énfasis1 20 2" xfId="1387"/>
    <cellStyle name="40% - Énfasis1 20 2 2" xfId="3707"/>
    <cellStyle name="40% - Énfasis1 20 3" xfId="2992"/>
    <cellStyle name="40% - Énfasis1 21" xfId="706"/>
    <cellStyle name="40% - Énfasis1 21 2" xfId="1405"/>
    <cellStyle name="40% - Énfasis1 21 2 2" xfId="3725"/>
    <cellStyle name="40% - Énfasis1 21 3" xfId="3010"/>
    <cellStyle name="40% - Énfasis1 22" xfId="725"/>
    <cellStyle name="40% - Énfasis1 22 2" xfId="1424"/>
    <cellStyle name="40% - Énfasis1 22 2 2" xfId="3744"/>
    <cellStyle name="40% - Énfasis1 22 3" xfId="3029"/>
    <cellStyle name="40% - Énfasis1 23" xfId="744"/>
    <cellStyle name="40% - Énfasis1 23 2" xfId="1443"/>
    <cellStyle name="40% - Énfasis1 23 2 2" xfId="3763"/>
    <cellStyle name="40% - Énfasis1 23 3" xfId="3048"/>
    <cellStyle name="40% - Énfasis1 24" xfId="763"/>
    <cellStyle name="40% - Énfasis1 24 2" xfId="1462"/>
    <cellStyle name="40% - Énfasis1 24 2 2" xfId="3782"/>
    <cellStyle name="40% - Énfasis1 24 3" xfId="3067"/>
    <cellStyle name="40% - Énfasis1 25" xfId="784"/>
    <cellStyle name="40% - Énfasis1 25 2" xfId="1483"/>
    <cellStyle name="40% - Énfasis1 25 2 2" xfId="3803"/>
    <cellStyle name="40% - Énfasis1 25 3" xfId="3088"/>
    <cellStyle name="40% - Énfasis1 26" xfId="807"/>
    <cellStyle name="40% - Énfasis1 26 2" xfId="1506"/>
    <cellStyle name="40% - Énfasis1 26 2 2" xfId="3826"/>
    <cellStyle name="40% - Énfasis1 26 3" xfId="3111"/>
    <cellStyle name="40% - Énfasis1 27" xfId="827"/>
    <cellStyle name="40% - Énfasis1 27 2" xfId="1526"/>
    <cellStyle name="40% - Énfasis1 27 2 2" xfId="3846"/>
    <cellStyle name="40% - Énfasis1 27 3" xfId="3131"/>
    <cellStyle name="40% - Énfasis1 28" xfId="850"/>
    <cellStyle name="40% - Énfasis1 28 2" xfId="1549"/>
    <cellStyle name="40% - Énfasis1 28 2 2" xfId="3869"/>
    <cellStyle name="40% - Énfasis1 28 3" xfId="3154"/>
    <cellStyle name="40% - Énfasis1 29" xfId="870"/>
    <cellStyle name="40% - Énfasis1 29 2" xfId="1569"/>
    <cellStyle name="40% - Énfasis1 29 2 2" xfId="3889"/>
    <cellStyle name="40% - Énfasis1 29 3" xfId="3174"/>
    <cellStyle name="40% - Énfasis1 3" xfId="153"/>
    <cellStyle name="40% - Énfasis1 3 2" xfId="1096"/>
    <cellStyle name="40% - Énfasis1 3 2 2" xfId="3414"/>
    <cellStyle name="40% - Énfasis1 3 3" xfId="2698"/>
    <cellStyle name="40% - Énfasis1 30" xfId="892"/>
    <cellStyle name="40% - Énfasis1 30 2" xfId="1591"/>
    <cellStyle name="40% - Énfasis1 30 2 2" xfId="3911"/>
    <cellStyle name="40% - Énfasis1 30 3" xfId="3196"/>
    <cellStyle name="40% - Énfasis1 31" xfId="915"/>
    <cellStyle name="40% - Énfasis1 31 2" xfId="1614"/>
    <cellStyle name="40% - Énfasis1 31 2 2" xfId="3934"/>
    <cellStyle name="40% - Énfasis1 31 3" xfId="3219"/>
    <cellStyle name="40% - Énfasis1 32" xfId="931"/>
    <cellStyle name="40% - Énfasis1 32 2" xfId="1630"/>
    <cellStyle name="40% - Énfasis1 32 2 2" xfId="3950"/>
    <cellStyle name="40% - Énfasis1 32 3" xfId="3235"/>
    <cellStyle name="40% - Énfasis1 33" xfId="950"/>
    <cellStyle name="40% - Énfasis1 33 2" xfId="1649"/>
    <cellStyle name="40% - Énfasis1 33 2 2" xfId="3969"/>
    <cellStyle name="40% - Énfasis1 33 3" xfId="3254"/>
    <cellStyle name="40% - Énfasis1 34" xfId="969"/>
    <cellStyle name="40% - Énfasis1 34 2" xfId="1669"/>
    <cellStyle name="40% - Énfasis1 34 2 2" xfId="3989"/>
    <cellStyle name="40% - Énfasis1 34 3" xfId="3273"/>
    <cellStyle name="40% - Énfasis1 35" xfId="988"/>
    <cellStyle name="40% - Énfasis1 35 2" xfId="1688"/>
    <cellStyle name="40% - Énfasis1 35 2 2" xfId="4009"/>
    <cellStyle name="40% - Énfasis1 35 3" xfId="3294"/>
    <cellStyle name="40% - Énfasis1 36" xfId="1006"/>
    <cellStyle name="40% - Énfasis1 36 2" xfId="1706"/>
    <cellStyle name="40% - Énfasis1 36 2 2" xfId="4027"/>
    <cellStyle name="40% - Énfasis1 36 3" xfId="3312"/>
    <cellStyle name="40% - Énfasis1 37" xfId="1026"/>
    <cellStyle name="40% - Énfasis1 37 2" xfId="1726"/>
    <cellStyle name="40% - Énfasis1 37 2 2" xfId="4047"/>
    <cellStyle name="40% - Énfasis1 37 3" xfId="3332"/>
    <cellStyle name="40% - Énfasis1 38" xfId="1046"/>
    <cellStyle name="40% - Énfasis1 38 2" xfId="1746"/>
    <cellStyle name="40% - Énfasis1 38 2 2" xfId="4067"/>
    <cellStyle name="40% - Énfasis1 38 3" xfId="3352"/>
    <cellStyle name="40% - Énfasis1 39" xfId="1065"/>
    <cellStyle name="40% - Énfasis1 39 2" xfId="3371"/>
    <cellStyle name="40% - Énfasis1 4" xfId="154"/>
    <cellStyle name="40% - Énfasis1 4 2" xfId="1109"/>
    <cellStyle name="40% - Énfasis1 4 2 2" xfId="3427"/>
    <cellStyle name="40% - Énfasis1 4 3" xfId="2711"/>
    <cellStyle name="40% - Énfasis1 40" xfId="1080"/>
    <cellStyle name="40% - Énfasis1 40 2" xfId="3385"/>
    <cellStyle name="40% - Énfasis1 41" xfId="1765"/>
    <cellStyle name="40% - Énfasis1 41 2" xfId="4086"/>
    <cellStyle name="40% - Énfasis1 42" xfId="1786"/>
    <cellStyle name="40% - Énfasis1 42 2" xfId="4107"/>
    <cellStyle name="40% - Énfasis1 43" xfId="1809"/>
    <cellStyle name="40% - Énfasis1 43 2" xfId="4130"/>
    <cellStyle name="40% - Énfasis1 44" xfId="1825"/>
    <cellStyle name="40% - Énfasis1 44 2" xfId="4146"/>
    <cellStyle name="40% - Énfasis1 45" xfId="1841"/>
    <cellStyle name="40% - Énfasis1 45 2" xfId="4162"/>
    <cellStyle name="40% - Énfasis1 46" xfId="1861"/>
    <cellStyle name="40% - Énfasis1 46 2" xfId="4182"/>
    <cellStyle name="40% - Énfasis1 47" xfId="1882"/>
    <cellStyle name="40% - Énfasis1 47 2" xfId="4203"/>
    <cellStyle name="40% - Énfasis1 48" xfId="1900"/>
    <cellStyle name="40% - Énfasis1 48 2" xfId="4221"/>
    <cellStyle name="40% - Énfasis1 49" xfId="1913"/>
    <cellStyle name="40% - Énfasis1 49 2" xfId="4234"/>
    <cellStyle name="40% - Énfasis1 5" xfId="155"/>
    <cellStyle name="40% - Énfasis1 5 2" xfId="1122"/>
    <cellStyle name="40% - Énfasis1 5 2 2" xfId="3440"/>
    <cellStyle name="40% - Énfasis1 5 3" xfId="2724"/>
    <cellStyle name="40% - Énfasis1 5 4" xfId="427"/>
    <cellStyle name="40% - Énfasis1 50" xfId="1928"/>
    <cellStyle name="40% - Énfasis1 50 2" xfId="4249"/>
    <cellStyle name="40% - Énfasis1 51" xfId="1948"/>
    <cellStyle name="40% - Énfasis1 51 2" xfId="4269"/>
    <cellStyle name="40% - Énfasis1 52" xfId="1973"/>
    <cellStyle name="40% - Énfasis1 52 2" xfId="4294"/>
    <cellStyle name="40% - Énfasis1 53" xfId="1999"/>
    <cellStyle name="40% - Énfasis1 53 2" xfId="4320"/>
    <cellStyle name="40% - Énfasis1 54" xfId="2015"/>
    <cellStyle name="40% - Énfasis1 54 2" xfId="4336"/>
    <cellStyle name="40% - Énfasis1 55" xfId="2029"/>
    <cellStyle name="40% - Énfasis1 55 2" xfId="4350"/>
    <cellStyle name="40% - Énfasis1 56" xfId="2047"/>
    <cellStyle name="40% - Énfasis1 56 2" xfId="4368"/>
    <cellStyle name="40% - Énfasis1 57" xfId="2068"/>
    <cellStyle name="40% - Énfasis1 57 2" xfId="4389"/>
    <cellStyle name="40% - Énfasis1 58" xfId="2592"/>
    <cellStyle name="40% - Énfasis1 58 2" xfId="4410"/>
    <cellStyle name="40% - Énfasis1 59" xfId="2607"/>
    <cellStyle name="40% - Énfasis1 59 2" xfId="4425"/>
    <cellStyle name="40% - Énfasis1 6" xfId="439"/>
    <cellStyle name="40% - Énfasis1 6 2" xfId="1135"/>
    <cellStyle name="40% - Énfasis1 6 2 2" xfId="3453"/>
    <cellStyle name="40% - Énfasis1 6 3" xfId="2737"/>
    <cellStyle name="40% - Énfasis1 60" xfId="2626"/>
    <cellStyle name="40% - Énfasis1 60 2" xfId="4444"/>
    <cellStyle name="40% - Énfasis1 61" xfId="2642"/>
    <cellStyle name="40% - Énfasis1 61 2" xfId="4460"/>
    <cellStyle name="40% - Énfasis1 62" xfId="2657"/>
    <cellStyle name="40% - Énfasis1 62 2" xfId="4475"/>
    <cellStyle name="40% - Énfasis1 63" xfId="2670"/>
    <cellStyle name="40% - Énfasis1 7" xfId="452"/>
    <cellStyle name="40% - Énfasis1 7 2" xfId="1148"/>
    <cellStyle name="40% - Énfasis1 7 2 2" xfId="3467"/>
    <cellStyle name="40% - Énfasis1 7 3" xfId="2751"/>
    <cellStyle name="40% - Énfasis1 8" xfId="465"/>
    <cellStyle name="40% - Énfasis1 8 2" xfId="1161"/>
    <cellStyle name="40% - Énfasis1 8 2 2" xfId="3480"/>
    <cellStyle name="40% - Énfasis1 8 3" xfId="2764"/>
    <cellStyle name="40% - Énfasis1 9" xfId="478"/>
    <cellStyle name="40% - Énfasis1 9 2" xfId="1176"/>
    <cellStyle name="40% - Énfasis1 9 2 2" xfId="3497"/>
    <cellStyle name="40% - Énfasis1 9 3" xfId="2781"/>
    <cellStyle name="40% - Énfasis2" xfId="29" builtinId="35" customBuiltin="1"/>
    <cellStyle name="40% - Énfasis2 10" xfId="500"/>
    <cellStyle name="40% - Énfasis2 10 2" xfId="1198"/>
    <cellStyle name="40% - Énfasis2 10 2 2" xfId="3518"/>
    <cellStyle name="40% - Énfasis2 10 3" xfId="2803"/>
    <cellStyle name="40% - Énfasis2 11" xfId="525"/>
    <cellStyle name="40% - Énfasis2 11 2" xfId="1224"/>
    <cellStyle name="40% - Énfasis2 11 2 2" xfId="3544"/>
    <cellStyle name="40% - Énfasis2 11 3" xfId="2829"/>
    <cellStyle name="40% - Énfasis2 12" xfId="558"/>
    <cellStyle name="40% - Énfasis2 12 2" xfId="1257"/>
    <cellStyle name="40% - Énfasis2 12 2 2" xfId="3577"/>
    <cellStyle name="40% - Énfasis2 12 3" xfId="2862"/>
    <cellStyle name="40% - Énfasis2 13" xfId="580"/>
    <cellStyle name="40% - Énfasis2 13 2" xfId="1279"/>
    <cellStyle name="40% - Énfasis2 13 2 2" xfId="3599"/>
    <cellStyle name="40% - Énfasis2 13 3" xfId="2884"/>
    <cellStyle name="40% - Énfasis2 14" xfId="597"/>
    <cellStyle name="40% - Énfasis2 14 2" xfId="1296"/>
    <cellStyle name="40% - Énfasis2 14 2 2" xfId="3616"/>
    <cellStyle name="40% - Énfasis2 14 3" xfId="2901"/>
    <cellStyle name="40% - Énfasis2 15" xfId="610"/>
    <cellStyle name="40% - Énfasis2 15 2" xfId="1309"/>
    <cellStyle name="40% - Énfasis2 15 2 2" xfId="3629"/>
    <cellStyle name="40% - Énfasis2 15 3" xfId="2914"/>
    <cellStyle name="40% - Énfasis2 16" xfId="623"/>
    <cellStyle name="40% - Énfasis2 16 2" xfId="1322"/>
    <cellStyle name="40% - Énfasis2 16 2 2" xfId="3642"/>
    <cellStyle name="40% - Énfasis2 16 3" xfId="2927"/>
    <cellStyle name="40% - Énfasis2 17" xfId="640"/>
    <cellStyle name="40% - Énfasis2 17 2" xfId="1339"/>
    <cellStyle name="40% - Énfasis2 17 2 2" xfId="3659"/>
    <cellStyle name="40% - Énfasis2 17 3" xfId="2944"/>
    <cellStyle name="40% - Énfasis2 18" xfId="657"/>
    <cellStyle name="40% - Énfasis2 18 2" xfId="1356"/>
    <cellStyle name="40% - Énfasis2 18 2 2" xfId="3676"/>
    <cellStyle name="40% - Énfasis2 18 3" xfId="2961"/>
    <cellStyle name="40% - Énfasis2 19" xfId="673"/>
    <cellStyle name="40% - Énfasis2 19 2" xfId="1372"/>
    <cellStyle name="40% - Énfasis2 19 2 2" xfId="3692"/>
    <cellStyle name="40% - Énfasis2 19 3" xfId="2977"/>
    <cellStyle name="40% - Énfasis2 2" xfId="98"/>
    <cellStyle name="40% - Énfasis2 2 2" xfId="156"/>
    <cellStyle name="40% - Énfasis2 2 2 2" xfId="3403"/>
    <cellStyle name="40% - Énfasis2 2 3" xfId="2687"/>
    <cellStyle name="40% - Énfasis2 20" xfId="690"/>
    <cellStyle name="40% - Énfasis2 20 2" xfId="1389"/>
    <cellStyle name="40% - Énfasis2 20 2 2" xfId="3709"/>
    <cellStyle name="40% - Énfasis2 20 3" xfId="2994"/>
    <cellStyle name="40% - Énfasis2 21" xfId="708"/>
    <cellStyle name="40% - Énfasis2 21 2" xfId="1407"/>
    <cellStyle name="40% - Énfasis2 21 2 2" xfId="3727"/>
    <cellStyle name="40% - Énfasis2 21 3" xfId="3012"/>
    <cellStyle name="40% - Énfasis2 22" xfId="727"/>
    <cellStyle name="40% - Énfasis2 22 2" xfId="1426"/>
    <cellStyle name="40% - Énfasis2 22 2 2" xfId="3746"/>
    <cellStyle name="40% - Énfasis2 22 3" xfId="3031"/>
    <cellStyle name="40% - Énfasis2 23" xfId="746"/>
    <cellStyle name="40% - Énfasis2 23 2" xfId="1445"/>
    <cellStyle name="40% - Énfasis2 23 2 2" xfId="3765"/>
    <cellStyle name="40% - Énfasis2 23 3" xfId="3050"/>
    <cellStyle name="40% - Énfasis2 24" xfId="765"/>
    <cellStyle name="40% - Énfasis2 24 2" xfId="1464"/>
    <cellStyle name="40% - Énfasis2 24 2 2" xfId="3784"/>
    <cellStyle name="40% - Énfasis2 24 3" xfId="3069"/>
    <cellStyle name="40% - Énfasis2 25" xfId="787"/>
    <cellStyle name="40% - Énfasis2 25 2" xfId="1486"/>
    <cellStyle name="40% - Énfasis2 25 2 2" xfId="3806"/>
    <cellStyle name="40% - Énfasis2 25 3" xfId="3091"/>
    <cellStyle name="40% - Énfasis2 26" xfId="809"/>
    <cellStyle name="40% - Énfasis2 26 2" xfId="1508"/>
    <cellStyle name="40% - Énfasis2 26 2 2" xfId="3828"/>
    <cellStyle name="40% - Énfasis2 26 3" xfId="3113"/>
    <cellStyle name="40% - Énfasis2 27" xfId="829"/>
    <cellStyle name="40% - Énfasis2 27 2" xfId="1528"/>
    <cellStyle name="40% - Énfasis2 27 2 2" xfId="3848"/>
    <cellStyle name="40% - Énfasis2 27 3" xfId="3133"/>
    <cellStyle name="40% - Énfasis2 28" xfId="852"/>
    <cellStyle name="40% - Énfasis2 28 2" xfId="1551"/>
    <cellStyle name="40% - Énfasis2 28 2 2" xfId="3871"/>
    <cellStyle name="40% - Énfasis2 28 3" xfId="3156"/>
    <cellStyle name="40% - Énfasis2 29" xfId="872"/>
    <cellStyle name="40% - Énfasis2 29 2" xfId="1571"/>
    <cellStyle name="40% - Énfasis2 29 2 2" xfId="3891"/>
    <cellStyle name="40% - Énfasis2 29 3" xfId="3176"/>
    <cellStyle name="40% - Énfasis2 3" xfId="157"/>
    <cellStyle name="40% - Énfasis2 3 2" xfId="1098"/>
    <cellStyle name="40% - Énfasis2 3 2 2" xfId="3416"/>
    <cellStyle name="40% - Énfasis2 3 3" xfId="2700"/>
    <cellStyle name="40% - Énfasis2 30" xfId="894"/>
    <cellStyle name="40% - Énfasis2 30 2" xfId="1593"/>
    <cellStyle name="40% - Énfasis2 30 2 2" xfId="3913"/>
    <cellStyle name="40% - Énfasis2 30 3" xfId="3198"/>
    <cellStyle name="40% - Énfasis2 31" xfId="918"/>
    <cellStyle name="40% - Énfasis2 31 2" xfId="1617"/>
    <cellStyle name="40% - Énfasis2 31 2 2" xfId="3937"/>
    <cellStyle name="40% - Énfasis2 31 3" xfId="3222"/>
    <cellStyle name="40% - Énfasis2 32" xfId="933"/>
    <cellStyle name="40% - Énfasis2 32 2" xfId="1632"/>
    <cellStyle name="40% - Énfasis2 32 2 2" xfId="3952"/>
    <cellStyle name="40% - Énfasis2 32 3" xfId="3237"/>
    <cellStyle name="40% - Énfasis2 33" xfId="952"/>
    <cellStyle name="40% - Énfasis2 33 2" xfId="1651"/>
    <cellStyle name="40% - Énfasis2 33 2 2" xfId="3971"/>
    <cellStyle name="40% - Énfasis2 33 3" xfId="3256"/>
    <cellStyle name="40% - Énfasis2 34" xfId="971"/>
    <cellStyle name="40% - Énfasis2 34 2" xfId="1671"/>
    <cellStyle name="40% - Énfasis2 34 2 2" xfId="3991"/>
    <cellStyle name="40% - Énfasis2 34 3" xfId="3275"/>
    <cellStyle name="40% - Énfasis2 35" xfId="990"/>
    <cellStyle name="40% - Énfasis2 35 2" xfId="1690"/>
    <cellStyle name="40% - Énfasis2 35 2 2" xfId="4011"/>
    <cellStyle name="40% - Énfasis2 35 3" xfId="3296"/>
    <cellStyle name="40% - Énfasis2 36" xfId="1008"/>
    <cellStyle name="40% - Énfasis2 36 2" xfId="1708"/>
    <cellStyle name="40% - Énfasis2 36 2 2" xfId="4029"/>
    <cellStyle name="40% - Énfasis2 36 3" xfId="3314"/>
    <cellStyle name="40% - Énfasis2 37" xfId="1029"/>
    <cellStyle name="40% - Énfasis2 37 2" xfId="1729"/>
    <cellStyle name="40% - Énfasis2 37 2 2" xfId="4050"/>
    <cellStyle name="40% - Énfasis2 37 3" xfId="3335"/>
    <cellStyle name="40% - Énfasis2 38" xfId="1048"/>
    <cellStyle name="40% - Énfasis2 38 2" xfId="1748"/>
    <cellStyle name="40% - Énfasis2 38 2 2" xfId="4069"/>
    <cellStyle name="40% - Énfasis2 38 3" xfId="3354"/>
    <cellStyle name="40% - Énfasis2 39" xfId="1067"/>
    <cellStyle name="40% - Énfasis2 39 2" xfId="3373"/>
    <cellStyle name="40% - Énfasis2 4" xfId="158"/>
    <cellStyle name="40% - Énfasis2 4 2" xfId="1111"/>
    <cellStyle name="40% - Énfasis2 4 2 2" xfId="3429"/>
    <cellStyle name="40% - Énfasis2 4 3" xfId="2713"/>
    <cellStyle name="40% - Énfasis2 40" xfId="1082"/>
    <cellStyle name="40% - Énfasis2 40 2" xfId="3387"/>
    <cellStyle name="40% - Énfasis2 41" xfId="1767"/>
    <cellStyle name="40% - Énfasis2 41 2" xfId="4088"/>
    <cellStyle name="40% - Énfasis2 42" xfId="1788"/>
    <cellStyle name="40% - Énfasis2 42 2" xfId="4109"/>
    <cellStyle name="40% - Énfasis2 43" xfId="1812"/>
    <cellStyle name="40% - Énfasis2 43 2" xfId="4133"/>
    <cellStyle name="40% - Énfasis2 44" xfId="1827"/>
    <cellStyle name="40% - Énfasis2 44 2" xfId="4148"/>
    <cellStyle name="40% - Énfasis2 45" xfId="1843"/>
    <cellStyle name="40% - Énfasis2 45 2" xfId="4164"/>
    <cellStyle name="40% - Énfasis2 46" xfId="1863"/>
    <cellStyle name="40% - Énfasis2 46 2" xfId="4184"/>
    <cellStyle name="40% - Énfasis2 47" xfId="1885"/>
    <cellStyle name="40% - Énfasis2 47 2" xfId="4206"/>
    <cellStyle name="40% - Énfasis2 48" xfId="1902"/>
    <cellStyle name="40% - Énfasis2 48 2" xfId="4223"/>
    <cellStyle name="40% - Énfasis2 49" xfId="1915"/>
    <cellStyle name="40% - Énfasis2 49 2" xfId="4236"/>
    <cellStyle name="40% - Énfasis2 5" xfId="429"/>
    <cellStyle name="40% - Énfasis2 5 2" xfId="1124"/>
    <cellStyle name="40% - Énfasis2 5 2 2" xfId="3442"/>
    <cellStyle name="40% - Énfasis2 5 3" xfId="2726"/>
    <cellStyle name="40% - Énfasis2 50" xfId="1930"/>
    <cellStyle name="40% - Énfasis2 50 2" xfId="4251"/>
    <cellStyle name="40% - Énfasis2 51" xfId="1951"/>
    <cellStyle name="40% - Énfasis2 51 2" xfId="4272"/>
    <cellStyle name="40% - Énfasis2 52" xfId="1976"/>
    <cellStyle name="40% - Énfasis2 52 2" xfId="4297"/>
    <cellStyle name="40% - Énfasis2 53" xfId="2001"/>
    <cellStyle name="40% - Énfasis2 53 2" xfId="4322"/>
    <cellStyle name="40% - Énfasis2 54" xfId="2017"/>
    <cellStyle name="40% - Énfasis2 54 2" xfId="4338"/>
    <cellStyle name="40% - Énfasis2 55" xfId="2031"/>
    <cellStyle name="40% - Énfasis2 55 2" xfId="4352"/>
    <cellStyle name="40% - Énfasis2 56" xfId="2050"/>
    <cellStyle name="40% - Énfasis2 56 2" xfId="4371"/>
    <cellStyle name="40% - Énfasis2 57" xfId="2070"/>
    <cellStyle name="40% - Énfasis2 57 2" xfId="4391"/>
    <cellStyle name="40% - Énfasis2 58" xfId="2594"/>
    <cellStyle name="40% - Énfasis2 58 2" xfId="4412"/>
    <cellStyle name="40% - Énfasis2 59" xfId="2609"/>
    <cellStyle name="40% - Énfasis2 59 2" xfId="4427"/>
    <cellStyle name="40% - Énfasis2 6" xfId="441"/>
    <cellStyle name="40% - Énfasis2 6 2" xfId="1137"/>
    <cellStyle name="40% - Énfasis2 6 2 2" xfId="3455"/>
    <cellStyle name="40% - Énfasis2 6 3" xfId="2739"/>
    <cellStyle name="40% - Énfasis2 60" xfId="2628"/>
    <cellStyle name="40% - Énfasis2 60 2" xfId="4446"/>
    <cellStyle name="40% - Énfasis2 61" xfId="2644"/>
    <cellStyle name="40% - Énfasis2 61 2" xfId="4462"/>
    <cellStyle name="40% - Énfasis2 62" xfId="2659"/>
    <cellStyle name="40% - Énfasis2 62 2" xfId="4477"/>
    <cellStyle name="40% - Énfasis2 63" xfId="2672"/>
    <cellStyle name="40% - Énfasis2 7" xfId="454"/>
    <cellStyle name="40% - Énfasis2 7 2" xfId="1150"/>
    <cellStyle name="40% - Énfasis2 7 2 2" xfId="3469"/>
    <cellStyle name="40% - Énfasis2 7 3" xfId="2753"/>
    <cellStyle name="40% - Énfasis2 8" xfId="467"/>
    <cellStyle name="40% - Énfasis2 8 2" xfId="1163"/>
    <cellStyle name="40% - Énfasis2 8 2 2" xfId="3482"/>
    <cellStyle name="40% - Énfasis2 8 3" xfId="2766"/>
    <cellStyle name="40% - Énfasis2 9" xfId="480"/>
    <cellStyle name="40% - Énfasis2 9 2" xfId="1178"/>
    <cellStyle name="40% - Énfasis2 9 2 2" xfId="3499"/>
    <cellStyle name="40% - Énfasis2 9 3" xfId="2783"/>
    <cellStyle name="40% - Énfasis3" xfId="33" builtinId="39" customBuiltin="1"/>
    <cellStyle name="40% - Énfasis3 10" xfId="502"/>
    <cellStyle name="40% - Énfasis3 10 2" xfId="1200"/>
    <cellStyle name="40% - Énfasis3 10 2 2" xfId="3520"/>
    <cellStyle name="40% - Énfasis3 10 3" xfId="2805"/>
    <cellStyle name="40% - Énfasis3 11" xfId="527"/>
    <cellStyle name="40% - Énfasis3 11 2" xfId="1226"/>
    <cellStyle name="40% - Énfasis3 11 2 2" xfId="3546"/>
    <cellStyle name="40% - Énfasis3 11 3" xfId="2831"/>
    <cellStyle name="40% - Énfasis3 12" xfId="560"/>
    <cellStyle name="40% - Énfasis3 12 2" xfId="1259"/>
    <cellStyle name="40% - Énfasis3 12 2 2" xfId="3579"/>
    <cellStyle name="40% - Énfasis3 12 3" xfId="2864"/>
    <cellStyle name="40% - Énfasis3 13" xfId="583"/>
    <cellStyle name="40% - Énfasis3 13 2" xfId="1282"/>
    <cellStyle name="40% - Énfasis3 13 2 2" xfId="3602"/>
    <cellStyle name="40% - Énfasis3 13 3" xfId="2887"/>
    <cellStyle name="40% - Énfasis3 14" xfId="599"/>
    <cellStyle name="40% - Énfasis3 14 2" xfId="1298"/>
    <cellStyle name="40% - Énfasis3 14 2 2" xfId="3618"/>
    <cellStyle name="40% - Énfasis3 14 3" xfId="2903"/>
    <cellStyle name="40% - Énfasis3 15" xfId="612"/>
    <cellStyle name="40% - Énfasis3 15 2" xfId="1311"/>
    <cellStyle name="40% - Énfasis3 15 2 2" xfId="3631"/>
    <cellStyle name="40% - Énfasis3 15 3" xfId="2916"/>
    <cellStyle name="40% - Énfasis3 16" xfId="625"/>
    <cellStyle name="40% - Énfasis3 16 2" xfId="1324"/>
    <cellStyle name="40% - Énfasis3 16 2 2" xfId="3644"/>
    <cellStyle name="40% - Énfasis3 16 3" xfId="2929"/>
    <cellStyle name="40% - Énfasis3 17" xfId="642"/>
    <cellStyle name="40% - Énfasis3 17 2" xfId="1341"/>
    <cellStyle name="40% - Énfasis3 17 2 2" xfId="3661"/>
    <cellStyle name="40% - Énfasis3 17 3" xfId="2946"/>
    <cellStyle name="40% - Énfasis3 18" xfId="659"/>
    <cellStyle name="40% - Énfasis3 18 2" xfId="1358"/>
    <cellStyle name="40% - Énfasis3 18 2 2" xfId="3678"/>
    <cellStyle name="40% - Énfasis3 18 3" xfId="2963"/>
    <cellStyle name="40% - Énfasis3 19" xfId="675"/>
    <cellStyle name="40% - Énfasis3 19 2" xfId="1374"/>
    <cellStyle name="40% - Énfasis3 19 2 2" xfId="3694"/>
    <cellStyle name="40% - Énfasis3 19 3" xfId="2979"/>
    <cellStyle name="40% - Énfasis3 2" xfId="73"/>
    <cellStyle name="40% - Énfasis3 2 2" xfId="160"/>
    <cellStyle name="40% - Énfasis3 2 2 2" xfId="3405"/>
    <cellStyle name="40% - Énfasis3 2 3" xfId="272"/>
    <cellStyle name="40% - Énfasis3 2 3 2" xfId="2689"/>
    <cellStyle name="40% - Énfasis3 2 4" xfId="159"/>
    <cellStyle name="40% - Énfasis3 20" xfId="692"/>
    <cellStyle name="40% - Énfasis3 20 2" xfId="1391"/>
    <cellStyle name="40% - Énfasis3 20 2 2" xfId="3711"/>
    <cellStyle name="40% - Énfasis3 20 3" xfId="2996"/>
    <cellStyle name="40% - Énfasis3 21" xfId="710"/>
    <cellStyle name="40% - Énfasis3 21 2" xfId="1409"/>
    <cellStyle name="40% - Énfasis3 21 2 2" xfId="3729"/>
    <cellStyle name="40% - Énfasis3 21 3" xfId="3014"/>
    <cellStyle name="40% - Énfasis3 22" xfId="729"/>
    <cellStyle name="40% - Énfasis3 22 2" xfId="1428"/>
    <cellStyle name="40% - Énfasis3 22 2 2" xfId="3748"/>
    <cellStyle name="40% - Énfasis3 22 3" xfId="3033"/>
    <cellStyle name="40% - Énfasis3 23" xfId="748"/>
    <cellStyle name="40% - Énfasis3 23 2" xfId="1447"/>
    <cellStyle name="40% - Énfasis3 23 2 2" xfId="3767"/>
    <cellStyle name="40% - Énfasis3 23 3" xfId="3052"/>
    <cellStyle name="40% - Énfasis3 24" xfId="767"/>
    <cellStyle name="40% - Énfasis3 24 2" xfId="1466"/>
    <cellStyle name="40% - Énfasis3 24 2 2" xfId="3786"/>
    <cellStyle name="40% - Énfasis3 24 3" xfId="3071"/>
    <cellStyle name="40% - Énfasis3 25" xfId="790"/>
    <cellStyle name="40% - Énfasis3 25 2" xfId="1489"/>
    <cellStyle name="40% - Énfasis3 25 2 2" xfId="3809"/>
    <cellStyle name="40% - Énfasis3 25 3" xfId="3094"/>
    <cellStyle name="40% - Énfasis3 26" xfId="811"/>
    <cellStyle name="40% - Énfasis3 26 2" xfId="1510"/>
    <cellStyle name="40% - Énfasis3 26 2 2" xfId="3830"/>
    <cellStyle name="40% - Énfasis3 26 3" xfId="3115"/>
    <cellStyle name="40% - Énfasis3 27" xfId="831"/>
    <cellStyle name="40% - Énfasis3 27 2" xfId="1530"/>
    <cellStyle name="40% - Énfasis3 27 2 2" xfId="3850"/>
    <cellStyle name="40% - Énfasis3 27 3" xfId="3135"/>
    <cellStyle name="40% - Énfasis3 28" xfId="854"/>
    <cellStyle name="40% - Énfasis3 28 2" xfId="1553"/>
    <cellStyle name="40% - Énfasis3 28 2 2" xfId="3873"/>
    <cellStyle name="40% - Énfasis3 28 3" xfId="3158"/>
    <cellStyle name="40% - Énfasis3 29" xfId="874"/>
    <cellStyle name="40% - Énfasis3 29 2" xfId="1573"/>
    <cellStyle name="40% - Énfasis3 29 2 2" xfId="3893"/>
    <cellStyle name="40% - Énfasis3 29 3" xfId="3178"/>
    <cellStyle name="40% - Énfasis3 3" xfId="161"/>
    <cellStyle name="40% - Énfasis3 3 2" xfId="1100"/>
    <cellStyle name="40% - Énfasis3 3 2 2" xfId="3418"/>
    <cellStyle name="40% - Énfasis3 3 3" xfId="2702"/>
    <cellStyle name="40% - Énfasis3 30" xfId="896"/>
    <cellStyle name="40% - Énfasis3 30 2" xfId="1595"/>
    <cellStyle name="40% - Énfasis3 30 2 2" xfId="3915"/>
    <cellStyle name="40% - Énfasis3 30 3" xfId="3200"/>
    <cellStyle name="40% - Énfasis3 31" xfId="920"/>
    <cellStyle name="40% - Énfasis3 31 2" xfId="1619"/>
    <cellStyle name="40% - Énfasis3 31 2 2" xfId="3939"/>
    <cellStyle name="40% - Énfasis3 31 3" xfId="3224"/>
    <cellStyle name="40% - Énfasis3 32" xfId="935"/>
    <cellStyle name="40% - Énfasis3 32 2" xfId="1634"/>
    <cellStyle name="40% - Énfasis3 32 2 2" xfId="3954"/>
    <cellStyle name="40% - Énfasis3 32 3" xfId="3239"/>
    <cellStyle name="40% - Énfasis3 33" xfId="954"/>
    <cellStyle name="40% - Énfasis3 33 2" xfId="1653"/>
    <cellStyle name="40% - Énfasis3 33 2 2" xfId="3973"/>
    <cellStyle name="40% - Énfasis3 33 3" xfId="3258"/>
    <cellStyle name="40% - Énfasis3 34" xfId="973"/>
    <cellStyle name="40% - Énfasis3 34 2" xfId="1673"/>
    <cellStyle name="40% - Énfasis3 34 2 2" xfId="3993"/>
    <cellStyle name="40% - Énfasis3 34 3" xfId="3277"/>
    <cellStyle name="40% - Énfasis3 35" xfId="992"/>
    <cellStyle name="40% - Énfasis3 35 2" xfId="1692"/>
    <cellStyle name="40% - Énfasis3 35 2 2" xfId="4013"/>
    <cellStyle name="40% - Énfasis3 35 3" xfId="3298"/>
    <cellStyle name="40% - Énfasis3 36" xfId="1010"/>
    <cellStyle name="40% - Énfasis3 36 2" xfId="1710"/>
    <cellStyle name="40% - Énfasis3 36 2 2" xfId="4031"/>
    <cellStyle name="40% - Énfasis3 36 3" xfId="3316"/>
    <cellStyle name="40% - Énfasis3 37" xfId="1032"/>
    <cellStyle name="40% - Énfasis3 37 2" xfId="1732"/>
    <cellStyle name="40% - Énfasis3 37 2 2" xfId="4053"/>
    <cellStyle name="40% - Énfasis3 37 3" xfId="3338"/>
    <cellStyle name="40% - Énfasis3 38" xfId="1050"/>
    <cellStyle name="40% - Énfasis3 38 2" xfId="1750"/>
    <cellStyle name="40% - Énfasis3 38 2 2" xfId="4071"/>
    <cellStyle name="40% - Énfasis3 38 3" xfId="3356"/>
    <cellStyle name="40% - Énfasis3 39" xfId="1070"/>
    <cellStyle name="40% - Énfasis3 39 2" xfId="3376"/>
    <cellStyle name="40% - Énfasis3 4" xfId="162"/>
    <cellStyle name="40% - Énfasis3 4 2" xfId="1113"/>
    <cellStyle name="40% - Énfasis3 4 2 2" xfId="3431"/>
    <cellStyle name="40% - Énfasis3 4 3" xfId="2715"/>
    <cellStyle name="40% - Énfasis3 40" xfId="1084"/>
    <cellStyle name="40% - Énfasis3 40 2" xfId="3389"/>
    <cellStyle name="40% - Énfasis3 41" xfId="1769"/>
    <cellStyle name="40% - Énfasis3 41 2" xfId="4090"/>
    <cellStyle name="40% - Énfasis3 42" xfId="1790"/>
    <cellStyle name="40% - Énfasis3 42 2" xfId="4111"/>
    <cellStyle name="40% - Énfasis3 43" xfId="1815"/>
    <cellStyle name="40% - Énfasis3 43 2" xfId="4136"/>
    <cellStyle name="40% - Énfasis3 44" xfId="1829"/>
    <cellStyle name="40% - Énfasis3 44 2" xfId="4150"/>
    <cellStyle name="40% - Énfasis3 45" xfId="1845"/>
    <cellStyle name="40% - Énfasis3 45 2" xfId="4166"/>
    <cellStyle name="40% - Énfasis3 46" xfId="1865"/>
    <cellStyle name="40% - Énfasis3 46 2" xfId="4186"/>
    <cellStyle name="40% - Énfasis3 47" xfId="1887"/>
    <cellStyle name="40% - Énfasis3 47 2" xfId="4208"/>
    <cellStyle name="40% - Énfasis3 48" xfId="1904"/>
    <cellStyle name="40% - Énfasis3 48 2" xfId="4225"/>
    <cellStyle name="40% - Énfasis3 49" xfId="1917"/>
    <cellStyle name="40% - Énfasis3 49 2" xfId="4238"/>
    <cellStyle name="40% - Énfasis3 5" xfId="163"/>
    <cellStyle name="40% - Énfasis3 5 2" xfId="1126"/>
    <cellStyle name="40% - Énfasis3 5 2 2" xfId="3444"/>
    <cellStyle name="40% - Énfasis3 5 3" xfId="2728"/>
    <cellStyle name="40% - Énfasis3 5 4" xfId="431"/>
    <cellStyle name="40% - Énfasis3 50" xfId="1932"/>
    <cellStyle name="40% - Énfasis3 50 2" xfId="4253"/>
    <cellStyle name="40% - Énfasis3 51" xfId="1954"/>
    <cellStyle name="40% - Énfasis3 51 2" xfId="4275"/>
    <cellStyle name="40% - Énfasis3 52" xfId="1979"/>
    <cellStyle name="40% - Énfasis3 52 2" xfId="4300"/>
    <cellStyle name="40% - Énfasis3 53" xfId="2003"/>
    <cellStyle name="40% - Énfasis3 53 2" xfId="4324"/>
    <cellStyle name="40% - Énfasis3 54" xfId="2019"/>
    <cellStyle name="40% - Énfasis3 54 2" xfId="4340"/>
    <cellStyle name="40% - Énfasis3 55" xfId="2033"/>
    <cellStyle name="40% - Énfasis3 55 2" xfId="4354"/>
    <cellStyle name="40% - Énfasis3 56" xfId="2052"/>
    <cellStyle name="40% - Énfasis3 56 2" xfId="4373"/>
    <cellStyle name="40% - Énfasis3 57" xfId="2072"/>
    <cellStyle name="40% - Énfasis3 57 2" xfId="4393"/>
    <cellStyle name="40% - Énfasis3 58" xfId="2596"/>
    <cellStyle name="40% - Énfasis3 58 2" xfId="4414"/>
    <cellStyle name="40% - Énfasis3 59" xfId="2611"/>
    <cellStyle name="40% - Énfasis3 59 2" xfId="4429"/>
    <cellStyle name="40% - Énfasis3 6" xfId="443"/>
    <cellStyle name="40% - Énfasis3 6 2" xfId="1139"/>
    <cellStyle name="40% - Énfasis3 6 2 2" xfId="3457"/>
    <cellStyle name="40% - Énfasis3 6 3" xfId="2741"/>
    <cellStyle name="40% - Énfasis3 60" xfId="2630"/>
    <cellStyle name="40% - Énfasis3 60 2" xfId="4448"/>
    <cellStyle name="40% - Énfasis3 61" xfId="2646"/>
    <cellStyle name="40% - Énfasis3 61 2" xfId="4464"/>
    <cellStyle name="40% - Énfasis3 62" xfId="2661"/>
    <cellStyle name="40% - Énfasis3 62 2" xfId="4479"/>
    <cellStyle name="40% - Énfasis3 63" xfId="2674"/>
    <cellStyle name="40% - Énfasis3 7" xfId="456"/>
    <cellStyle name="40% - Énfasis3 7 2" xfId="1152"/>
    <cellStyle name="40% - Énfasis3 7 2 2" xfId="3471"/>
    <cellStyle name="40% - Énfasis3 7 3" xfId="2755"/>
    <cellStyle name="40% - Énfasis3 8" xfId="469"/>
    <cellStyle name="40% - Énfasis3 8 2" xfId="1165"/>
    <cellStyle name="40% - Énfasis3 8 2 2" xfId="3484"/>
    <cellStyle name="40% - Énfasis3 8 3" xfId="2768"/>
    <cellStyle name="40% - Énfasis3 9" xfId="482"/>
    <cellStyle name="40% - Énfasis3 9 2" xfId="1180"/>
    <cellStyle name="40% - Énfasis3 9 2 2" xfId="3501"/>
    <cellStyle name="40% - Énfasis3 9 3" xfId="2785"/>
    <cellStyle name="40% - Énfasis4" xfId="37" builtinId="43" customBuiltin="1"/>
    <cellStyle name="40% - Énfasis4 10" xfId="504"/>
    <cellStyle name="40% - Énfasis4 10 2" xfId="1202"/>
    <cellStyle name="40% - Énfasis4 10 2 2" xfId="3522"/>
    <cellStyle name="40% - Énfasis4 10 3" xfId="2807"/>
    <cellStyle name="40% - Énfasis4 11" xfId="531"/>
    <cellStyle name="40% - Énfasis4 11 2" xfId="1230"/>
    <cellStyle name="40% - Énfasis4 11 2 2" xfId="3550"/>
    <cellStyle name="40% - Énfasis4 11 3" xfId="2835"/>
    <cellStyle name="40% - Énfasis4 12" xfId="562"/>
    <cellStyle name="40% - Énfasis4 12 2" xfId="1261"/>
    <cellStyle name="40% - Énfasis4 12 2 2" xfId="3581"/>
    <cellStyle name="40% - Énfasis4 12 3" xfId="2866"/>
    <cellStyle name="40% - Énfasis4 13" xfId="585"/>
    <cellStyle name="40% - Énfasis4 13 2" xfId="1284"/>
    <cellStyle name="40% - Énfasis4 13 2 2" xfId="3604"/>
    <cellStyle name="40% - Énfasis4 13 3" xfId="2889"/>
    <cellStyle name="40% - Énfasis4 14" xfId="601"/>
    <cellStyle name="40% - Énfasis4 14 2" xfId="1300"/>
    <cellStyle name="40% - Énfasis4 14 2 2" xfId="3620"/>
    <cellStyle name="40% - Énfasis4 14 3" xfId="2905"/>
    <cellStyle name="40% - Énfasis4 15" xfId="614"/>
    <cellStyle name="40% - Énfasis4 15 2" xfId="1313"/>
    <cellStyle name="40% - Énfasis4 15 2 2" xfId="3633"/>
    <cellStyle name="40% - Énfasis4 15 3" xfId="2918"/>
    <cellStyle name="40% - Énfasis4 16" xfId="627"/>
    <cellStyle name="40% - Énfasis4 16 2" xfId="1326"/>
    <cellStyle name="40% - Énfasis4 16 2 2" xfId="3646"/>
    <cellStyle name="40% - Énfasis4 16 3" xfId="2931"/>
    <cellStyle name="40% - Énfasis4 17" xfId="644"/>
    <cellStyle name="40% - Énfasis4 17 2" xfId="1343"/>
    <cellStyle name="40% - Énfasis4 17 2 2" xfId="3663"/>
    <cellStyle name="40% - Énfasis4 17 3" xfId="2948"/>
    <cellStyle name="40% - Énfasis4 18" xfId="661"/>
    <cellStyle name="40% - Énfasis4 18 2" xfId="1360"/>
    <cellStyle name="40% - Énfasis4 18 2 2" xfId="3680"/>
    <cellStyle name="40% - Énfasis4 18 3" xfId="2965"/>
    <cellStyle name="40% - Énfasis4 19" xfId="677"/>
    <cellStyle name="40% - Énfasis4 19 2" xfId="1376"/>
    <cellStyle name="40% - Énfasis4 19 2 2" xfId="3696"/>
    <cellStyle name="40% - Énfasis4 19 3" xfId="2981"/>
    <cellStyle name="40% - Énfasis4 2" xfId="84"/>
    <cellStyle name="40% - Énfasis4 2 2" xfId="165"/>
    <cellStyle name="40% - Énfasis4 2 2 2" xfId="3407"/>
    <cellStyle name="40% - Énfasis4 2 3" xfId="273"/>
    <cellStyle name="40% - Énfasis4 2 3 2" xfId="2691"/>
    <cellStyle name="40% - Énfasis4 2 4" xfId="164"/>
    <cellStyle name="40% - Énfasis4 20" xfId="694"/>
    <cellStyle name="40% - Énfasis4 20 2" xfId="1393"/>
    <cellStyle name="40% - Énfasis4 20 2 2" xfId="3713"/>
    <cellStyle name="40% - Énfasis4 20 3" xfId="2998"/>
    <cellStyle name="40% - Énfasis4 21" xfId="712"/>
    <cellStyle name="40% - Énfasis4 21 2" xfId="1411"/>
    <cellStyle name="40% - Énfasis4 21 2 2" xfId="3731"/>
    <cellStyle name="40% - Énfasis4 21 3" xfId="3016"/>
    <cellStyle name="40% - Énfasis4 22" xfId="731"/>
    <cellStyle name="40% - Énfasis4 22 2" xfId="1430"/>
    <cellStyle name="40% - Énfasis4 22 2 2" xfId="3750"/>
    <cellStyle name="40% - Énfasis4 22 3" xfId="3035"/>
    <cellStyle name="40% - Énfasis4 23" xfId="750"/>
    <cellStyle name="40% - Énfasis4 23 2" xfId="1449"/>
    <cellStyle name="40% - Énfasis4 23 2 2" xfId="3769"/>
    <cellStyle name="40% - Énfasis4 23 3" xfId="3054"/>
    <cellStyle name="40% - Énfasis4 24" xfId="769"/>
    <cellStyle name="40% - Énfasis4 24 2" xfId="1468"/>
    <cellStyle name="40% - Énfasis4 24 2 2" xfId="3788"/>
    <cellStyle name="40% - Énfasis4 24 3" xfId="3073"/>
    <cellStyle name="40% - Énfasis4 25" xfId="792"/>
    <cellStyle name="40% - Énfasis4 25 2" xfId="1491"/>
    <cellStyle name="40% - Énfasis4 25 2 2" xfId="3811"/>
    <cellStyle name="40% - Énfasis4 25 3" xfId="3096"/>
    <cellStyle name="40% - Énfasis4 26" xfId="813"/>
    <cellStyle name="40% - Énfasis4 26 2" xfId="1512"/>
    <cellStyle name="40% - Énfasis4 26 2 2" xfId="3832"/>
    <cellStyle name="40% - Énfasis4 26 3" xfId="3117"/>
    <cellStyle name="40% - Énfasis4 27" xfId="833"/>
    <cellStyle name="40% - Énfasis4 27 2" xfId="1532"/>
    <cellStyle name="40% - Énfasis4 27 2 2" xfId="3852"/>
    <cellStyle name="40% - Énfasis4 27 3" xfId="3137"/>
    <cellStyle name="40% - Énfasis4 28" xfId="856"/>
    <cellStyle name="40% - Énfasis4 28 2" xfId="1555"/>
    <cellStyle name="40% - Énfasis4 28 2 2" xfId="3875"/>
    <cellStyle name="40% - Énfasis4 28 3" xfId="3160"/>
    <cellStyle name="40% - Énfasis4 29" xfId="876"/>
    <cellStyle name="40% - Énfasis4 29 2" xfId="1575"/>
    <cellStyle name="40% - Énfasis4 29 2 2" xfId="3895"/>
    <cellStyle name="40% - Énfasis4 29 3" xfId="3180"/>
    <cellStyle name="40% - Énfasis4 3" xfId="166"/>
    <cellStyle name="40% - Énfasis4 3 2" xfId="1102"/>
    <cellStyle name="40% - Énfasis4 3 2 2" xfId="3420"/>
    <cellStyle name="40% - Énfasis4 3 3" xfId="2704"/>
    <cellStyle name="40% - Énfasis4 30" xfId="898"/>
    <cellStyle name="40% - Énfasis4 30 2" xfId="1597"/>
    <cellStyle name="40% - Énfasis4 30 2 2" xfId="3917"/>
    <cellStyle name="40% - Énfasis4 30 3" xfId="3202"/>
    <cellStyle name="40% - Énfasis4 31" xfId="922"/>
    <cellStyle name="40% - Énfasis4 31 2" xfId="1621"/>
    <cellStyle name="40% - Énfasis4 31 2 2" xfId="3941"/>
    <cellStyle name="40% - Énfasis4 31 3" xfId="3226"/>
    <cellStyle name="40% - Énfasis4 32" xfId="937"/>
    <cellStyle name="40% - Énfasis4 32 2" xfId="1636"/>
    <cellStyle name="40% - Énfasis4 32 2 2" xfId="3956"/>
    <cellStyle name="40% - Énfasis4 32 3" xfId="3241"/>
    <cellStyle name="40% - Énfasis4 33" xfId="956"/>
    <cellStyle name="40% - Énfasis4 33 2" xfId="1655"/>
    <cellStyle name="40% - Énfasis4 33 2 2" xfId="3975"/>
    <cellStyle name="40% - Énfasis4 33 3" xfId="3260"/>
    <cellStyle name="40% - Énfasis4 34" xfId="975"/>
    <cellStyle name="40% - Énfasis4 34 2" xfId="1675"/>
    <cellStyle name="40% - Énfasis4 34 2 2" xfId="3995"/>
    <cellStyle name="40% - Énfasis4 34 3" xfId="3279"/>
    <cellStyle name="40% - Énfasis4 35" xfId="994"/>
    <cellStyle name="40% - Énfasis4 35 2" xfId="1694"/>
    <cellStyle name="40% - Énfasis4 35 2 2" xfId="4015"/>
    <cellStyle name="40% - Énfasis4 35 3" xfId="3300"/>
    <cellStyle name="40% - Énfasis4 36" xfId="1012"/>
    <cellStyle name="40% - Énfasis4 36 2" xfId="1712"/>
    <cellStyle name="40% - Énfasis4 36 2 2" xfId="4033"/>
    <cellStyle name="40% - Énfasis4 36 3" xfId="3318"/>
    <cellStyle name="40% - Énfasis4 37" xfId="1034"/>
    <cellStyle name="40% - Énfasis4 37 2" xfId="1734"/>
    <cellStyle name="40% - Énfasis4 37 2 2" xfId="4055"/>
    <cellStyle name="40% - Énfasis4 37 3" xfId="3340"/>
    <cellStyle name="40% - Énfasis4 38" xfId="1052"/>
    <cellStyle name="40% - Énfasis4 38 2" xfId="1752"/>
    <cellStyle name="40% - Énfasis4 38 2 2" xfId="4073"/>
    <cellStyle name="40% - Énfasis4 38 3" xfId="3358"/>
    <cellStyle name="40% - Énfasis4 39" xfId="1072"/>
    <cellStyle name="40% - Énfasis4 39 2" xfId="3378"/>
    <cellStyle name="40% - Énfasis4 4" xfId="167"/>
    <cellStyle name="40% - Énfasis4 4 2" xfId="1115"/>
    <cellStyle name="40% - Énfasis4 4 2 2" xfId="3433"/>
    <cellStyle name="40% - Énfasis4 4 3" xfId="2717"/>
    <cellStyle name="40% - Énfasis4 40" xfId="1086"/>
    <cellStyle name="40% - Énfasis4 40 2" xfId="3391"/>
    <cellStyle name="40% - Énfasis4 41" xfId="1771"/>
    <cellStyle name="40% - Énfasis4 41 2" xfId="4092"/>
    <cellStyle name="40% - Énfasis4 42" xfId="1792"/>
    <cellStyle name="40% - Énfasis4 42 2" xfId="4113"/>
    <cellStyle name="40% - Énfasis4 43" xfId="1817"/>
    <cellStyle name="40% - Énfasis4 43 2" xfId="4138"/>
    <cellStyle name="40% - Énfasis4 44" xfId="1831"/>
    <cellStyle name="40% - Énfasis4 44 2" xfId="4152"/>
    <cellStyle name="40% - Énfasis4 45" xfId="1848"/>
    <cellStyle name="40% - Énfasis4 45 2" xfId="4169"/>
    <cellStyle name="40% - Énfasis4 46" xfId="1867"/>
    <cellStyle name="40% - Énfasis4 46 2" xfId="4188"/>
    <cellStyle name="40% - Énfasis4 47" xfId="1889"/>
    <cellStyle name="40% - Énfasis4 47 2" xfId="4210"/>
    <cellStyle name="40% - Énfasis4 48" xfId="1906"/>
    <cellStyle name="40% - Énfasis4 48 2" xfId="4227"/>
    <cellStyle name="40% - Énfasis4 49" xfId="1919"/>
    <cellStyle name="40% - Énfasis4 49 2" xfId="4240"/>
    <cellStyle name="40% - Énfasis4 5" xfId="168"/>
    <cellStyle name="40% - Énfasis4 5 2" xfId="1128"/>
    <cellStyle name="40% - Énfasis4 5 2 2" xfId="3446"/>
    <cellStyle name="40% - Énfasis4 5 3" xfId="2730"/>
    <cellStyle name="40% - Énfasis4 5 4" xfId="433"/>
    <cellStyle name="40% - Énfasis4 50" xfId="1934"/>
    <cellStyle name="40% - Énfasis4 50 2" xfId="4255"/>
    <cellStyle name="40% - Énfasis4 51" xfId="1956"/>
    <cellStyle name="40% - Énfasis4 51 2" xfId="4277"/>
    <cellStyle name="40% - Énfasis4 52" xfId="1982"/>
    <cellStyle name="40% - Énfasis4 52 2" xfId="4303"/>
    <cellStyle name="40% - Énfasis4 53" xfId="2005"/>
    <cellStyle name="40% - Énfasis4 53 2" xfId="4326"/>
    <cellStyle name="40% - Énfasis4 54" xfId="2021"/>
    <cellStyle name="40% - Énfasis4 54 2" xfId="4342"/>
    <cellStyle name="40% - Énfasis4 55" xfId="2035"/>
    <cellStyle name="40% - Énfasis4 55 2" xfId="4356"/>
    <cellStyle name="40% - Énfasis4 56" xfId="2054"/>
    <cellStyle name="40% - Énfasis4 56 2" xfId="4375"/>
    <cellStyle name="40% - Énfasis4 57" xfId="2074"/>
    <cellStyle name="40% - Énfasis4 57 2" xfId="4395"/>
    <cellStyle name="40% - Énfasis4 58" xfId="2598"/>
    <cellStyle name="40% - Énfasis4 58 2" xfId="4416"/>
    <cellStyle name="40% - Énfasis4 59" xfId="2613"/>
    <cellStyle name="40% - Énfasis4 59 2" xfId="4431"/>
    <cellStyle name="40% - Énfasis4 6" xfId="445"/>
    <cellStyle name="40% - Énfasis4 6 2" xfId="1141"/>
    <cellStyle name="40% - Énfasis4 6 2 2" xfId="3459"/>
    <cellStyle name="40% - Énfasis4 6 3" xfId="2743"/>
    <cellStyle name="40% - Énfasis4 60" xfId="2632"/>
    <cellStyle name="40% - Énfasis4 60 2" xfId="4450"/>
    <cellStyle name="40% - Énfasis4 61" xfId="2648"/>
    <cellStyle name="40% - Énfasis4 61 2" xfId="4466"/>
    <cellStyle name="40% - Énfasis4 62" xfId="2663"/>
    <cellStyle name="40% - Énfasis4 62 2" xfId="4481"/>
    <cellStyle name="40% - Énfasis4 63" xfId="2676"/>
    <cellStyle name="40% - Énfasis4 7" xfId="458"/>
    <cellStyle name="40% - Énfasis4 7 2" xfId="1154"/>
    <cellStyle name="40% - Énfasis4 7 2 2" xfId="3473"/>
    <cellStyle name="40% - Énfasis4 7 3" xfId="2757"/>
    <cellStyle name="40% - Énfasis4 8" xfId="471"/>
    <cellStyle name="40% - Énfasis4 8 2" xfId="1167"/>
    <cellStyle name="40% - Énfasis4 8 2 2" xfId="3486"/>
    <cellStyle name="40% - Énfasis4 8 3" xfId="2770"/>
    <cellStyle name="40% - Énfasis4 9" xfId="484"/>
    <cellStyle name="40% - Énfasis4 9 2" xfId="1182"/>
    <cellStyle name="40% - Énfasis4 9 2 2" xfId="3503"/>
    <cellStyle name="40% - Énfasis4 9 3" xfId="2787"/>
    <cellStyle name="40% - Énfasis5" xfId="41" builtinId="47" customBuiltin="1"/>
    <cellStyle name="40% - Énfasis5 10" xfId="507"/>
    <cellStyle name="40% - Énfasis5 10 2" xfId="1205"/>
    <cellStyle name="40% - Énfasis5 10 2 2" xfId="3525"/>
    <cellStyle name="40% - Énfasis5 10 3" xfId="2810"/>
    <cellStyle name="40% - Énfasis5 11" xfId="533"/>
    <cellStyle name="40% - Énfasis5 11 2" xfId="1232"/>
    <cellStyle name="40% - Énfasis5 11 2 2" xfId="3552"/>
    <cellStyle name="40% - Énfasis5 11 3" xfId="2837"/>
    <cellStyle name="40% - Énfasis5 12" xfId="564"/>
    <cellStyle name="40% - Énfasis5 12 2" xfId="1263"/>
    <cellStyle name="40% - Énfasis5 12 2 2" xfId="3583"/>
    <cellStyle name="40% - Énfasis5 12 3" xfId="2868"/>
    <cellStyle name="40% - Énfasis5 13" xfId="587"/>
    <cellStyle name="40% - Énfasis5 13 2" xfId="1286"/>
    <cellStyle name="40% - Énfasis5 13 2 2" xfId="3606"/>
    <cellStyle name="40% - Énfasis5 13 3" xfId="2891"/>
    <cellStyle name="40% - Énfasis5 14" xfId="603"/>
    <cellStyle name="40% - Énfasis5 14 2" xfId="1302"/>
    <cellStyle name="40% - Énfasis5 14 2 2" xfId="3622"/>
    <cellStyle name="40% - Énfasis5 14 3" xfId="2907"/>
    <cellStyle name="40% - Énfasis5 15" xfId="616"/>
    <cellStyle name="40% - Énfasis5 15 2" xfId="1315"/>
    <cellStyle name="40% - Énfasis5 15 2 2" xfId="3635"/>
    <cellStyle name="40% - Énfasis5 15 3" xfId="2920"/>
    <cellStyle name="40% - Énfasis5 16" xfId="629"/>
    <cellStyle name="40% - Énfasis5 16 2" xfId="1328"/>
    <cellStyle name="40% - Énfasis5 16 2 2" xfId="3648"/>
    <cellStyle name="40% - Énfasis5 16 3" xfId="2933"/>
    <cellStyle name="40% - Énfasis5 17" xfId="646"/>
    <cellStyle name="40% - Énfasis5 17 2" xfId="1345"/>
    <cellStyle name="40% - Énfasis5 17 2 2" xfId="3665"/>
    <cellStyle name="40% - Énfasis5 17 3" xfId="2950"/>
    <cellStyle name="40% - Énfasis5 18" xfId="663"/>
    <cellStyle name="40% - Énfasis5 18 2" xfId="1362"/>
    <cellStyle name="40% - Énfasis5 18 2 2" xfId="3682"/>
    <cellStyle name="40% - Énfasis5 18 3" xfId="2967"/>
    <cellStyle name="40% - Énfasis5 19" xfId="679"/>
    <cellStyle name="40% - Énfasis5 19 2" xfId="1378"/>
    <cellStyle name="40% - Énfasis5 19 2 2" xfId="3698"/>
    <cellStyle name="40% - Énfasis5 19 3" xfId="2983"/>
    <cellStyle name="40% - Énfasis5 2" xfId="77"/>
    <cellStyle name="40% - Énfasis5 2 2" xfId="169"/>
    <cellStyle name="40% - Énfasis5 2 2 2" xfId="3409"/>
    <cellStyle name="40% - Énfasis5 2 3" xfId="2693"/>
    <cellStyle name="40% - Énfasis5 20" xfId="696"/>
    <cellStyle name="40% - Énfasis5 20 2" xfId="1395"/>
    <cellStyle name="40% - Énfasis5 20 2 2" xfId="3715"/>
    <cellStyle name="40% - Énfasis5 20 3" xfId="3000"/>
    <cellStyle name="40% - Énfasis5 21" xfId="714"/>
    <cellStyle name="40% - Énfasis5 21 2" xfId="1413"/>
    <cellStyle name="40% - Énfasis5 21 2 2" xfId="3733"/>
    <cellStyle name="40% - Énfasis5 21 3" xfId="3018"/>
    <cellStyle name="40% - Énfasis5 22" xfId="733"/>
    <cellStyle name="40% - Énfasis5 22 2" xfId="1432"/>
    <cellStyle name="40% - Énfasis5 22 2 2" xfId="3752"/>
    <cellStyle name="40% - Énfasis5 22 3" xfId="3037"/>
    <cellStyle name="40% - Énfasis5 23" xfId="752"/>
    <cellStyle name="40% - Énfasis5 23 2" xfId="1451"/>
    <cellStyle name="40% - Énfasis5 23 2 2" xfId="3771"/>
    <cellStyle name="40% - Énfasis5 23 3" xfId="3056"/>
    <cellStyle name="40% - Énfasis5 24" xfId="771"/>
    <cellStyle name="40% - Énfasis5 24 2" xfId="1470"/>
    <cellStyle name="40% - Énfasis5 24 2 2" xfId="3790"/>
    <cellStyle name="40% - Énfasis5 24 3" xfId="3075"/>
    <cellStyle name="40% - Énfasis5 25" xfId="794"/>
    <cellStyle name="40% - Énfasis5 25 2" xfId="1493"/>
    <cellStyle name="40% - Énfasis5 25 2 2" xfId="3813"/>
    <cellStyle name="40% - Énfasis5 25 3" xfId="3098"/>
    <cellStyle name="40% - Énfasis5 26" xfId="815"/>
    <cellStyle name="40% - Énfasis5 26 2" xfId="1514"/>
    <cellStyle name="40% - Énfasis5 26 2 2" xfId="3834"/>
    <cellStyle name="40% - Énfasis5 26 3" xfId="3119"/>
    <cellStyle name="40% - Énfasis5 27" xfId="835"/>
    <cellStyle name="40% - Énfasis5 27 2" xfId="1534"/>
    <cellStyle name="40% - Énfasis5 27 2 2" xfId="3854"/>
    <cellStyle name="40% - Énfasis5 27 3" xfId="3139"/>
    <cellStyle name="40% - Énfasis5 28" xfId="858"/>
    <cellStyle name="40% - Énfasis5 28 2" xfId="1557"/>
    <cellStyle name="40% - Énfasis5 28 2 2" xfId="3877"/>
    <cellStyle name="40% - Énfasis5 28 3" xfId="3162"/>
    <cellStyle name="40% - Énfasis5 29" xfId="878"/>
    <cellStyle name="40% - Énfasis5 29 2" xfId="1577"/>
    <cellStyle name="40% - Énfasis5 29 2 2" xfId="3897"/>
    <cellStyle name="40% - Énfasis5 29 3" xfId="3182"/>
    <cellStyle name="40% - Énfasis5 3" xfId="170"/>
    <cellStyle name="40% - Énfasis5 3 2" xfId="1104"/>
    <cellStyle name="40% - Énfasis5 3 2 2" xfId="3422"/>
    <cellStyle name="40% - Énfasis5 3 3" xfId="2706"/>
    <cellStyle name="40% - Énfasis5 30" xfId="900"/>
    <cellStyle name="40% - Énfasis5 30 2" xfId="1599"/>
    <cellStyle name="40% - Énfasis5 30 2 2" xfId="3919"/>
    <cellStyle name="40% - Énfasis5 30 3" xfId="3204"/>
    <cellStyle name="40% - Énfasis5 31" xfId="924"/>
    <cellStyle name="40% - Énfasis5 31 2" xfId="1623"/>
    <cellStyle name="40% - Énfasis5 31 2 2" xfId="3943"/>
    <cellStyle name="40% - Énfasis5 31 3" xfId="3228"/>
    <cellStyle name="40% - Énfasis5 32" xfId="939"/>
    <cellStyle name="40% - Énfasis5 32 2" xfId="1638"/>
    <cellStyle name="40% - Énfasis5 32 2 2" xfId="3958"/>
    <cellStyle name="40% - Énfasis5 32 3" xfId="3243"/>
    <cellStyle name="40% - Énfasis5 33" xfId="958"/>
    <cellStyle name="40% - Énfasis5 33 2" xfId="1657"/>
    <cellStyle name="40% - Énfasis5 33 2 2" xfId="3977"/>
    <cellStyle name="40% - Énfasis5 33 3" xfId="3262"/>
    <cellStyle name="40% - Énfasis5 34" xfId="977"/>
    <cellStyle name="40% - Énfasis5 34 2" xfId="1677"/>
    <cellStyle name="40% - Énfasis5 34 2 2" xfId="3997"/>
    <cellStyle name="40% - Énfasis5 34 3" xfId="3281"/>
    <cellStyle name="40% - Énfasis5 35" xfId="996"/>
    <cellStyle name="40% - Énfasis5 35 2" xfId="1696"/>
    <cellStyle name="40% - Énfasis5 35 2 2" xfId="4017"/>
    <cellStyle name="40% - Énfasis5 35 3" xfId="3302"/>
    <cellStyle name="40% - Énfasis5 36" xfId="1014"/>
    <cellStyle name="40% - Énfasis5 36 2" xfId="1714"/>
    <cellStyle name="40% - Énfasis5 36 2 2" xfId="4035"/>
    <cellStyle name="40% - Énfasis5 36 3" xfId="3320"/>
    <cellStyle name="40% - Énfasis5 37" xfId="1036"/>
    <cellStyle name="40% - Énfasis5 37 2" xfId="1736"/>
    <cellStyle name="40% - Énfasis5 37 2 2" xfId="4057"/>
    <cellStyle name="40% - Énfasis5 37 3" xfId="3342"/>
    <cellStyle name="40% - Énfasis5 38" xfId="1054"/>
    <cellStyle name="40% - Énfasis5 38 2" xfId="1754"/>
    <cellStyle name="40% - Énfasis5 38 2 2" xfId="4075"/>
    <cellStyle name="40% - Énfasis5 38 3" xfId="3360"/>
    <cellStyle name="40% - Énfasis5 39" xfId="1074"/>
    <cellStyle name="40% - Énfasis5 39 2" xfId="3380"/>
    <cellStyle name="40% - Énfasis5 4" xfId="171"/>
    <cellStyle name="40% - Énfasis5 4 2" xfId="1117"/>
    <cellStyle name="40% - Énfasis5 4 2 2" xfId="3435"/>
    <cellStyle name="40% - Énfasis5 4 3" xfId="2719"/>
    <cellStyle name="40% - Énfasis5 40" xfId="1088"/>
    <cellStyle name="40% - Énfasis5 40 2" xfId="3393"/>
    <cellStyle name="40% - Énfasis5 41" xfId="1773"/>
    <cellStyle name="40% - Énfasis5 41 2" xfId="4094"/>
    <cellStyle name="40% - Énfasis5 42" xfId="1794"/>
    <cellStyle name="40% - Énfasis5 42 2" xfId="4115"/>
    <cellStyle name="40% - Énfasis5 43" xfId="1819"/>
    <cellStyle name="40% - Énfasis5 43 2" xfId="4140"/>
    <cellStyle name="40% - Énfasis5 44" xfId="1833"/>
    <cellStyle name="40% - Énfasis5 44 2" xfId="4154"/>
    <cellStyle name="40% - Énfasis5 45" xfId="1850"/>
    <cellStyle name="40% - Énfasis5 45 2" xfId="4171"/>
    <cellStyle name="40% - Énfasis5 46" xfId="1869"/>
    <cellStyle name="40% - Énfasis5 46 2" xfId="4190"/>
    <cellStyle name="40% - Énfasis5 47" xfId="1891"/>
    <cellStyle name="40% - Énfasis5 47 2" xfId="4212"/>
    <cellStyle name="40% - Énfasis5 48" xfId="1908"/>
    <cellStyle name="40% - Énfasis5 48 2" xfId="4229"/>
    <cellStyle name="40% - Énfasis5 49" xfId="1921"/>
    <cellStyle name="40% - Énfasis5 49 2" xfId="4242"/>
    <cellStyle name="40% - Énfasis5 5" xfId="435"/>
    <cellStyle name="40% - Énfasis5 5 2" xfId="1130"/>
    <cellStyle name="40% - Énfasis5 5 2 2" xfId="3448"/>
    <cellStyle name="40% - Énfasis5 5 3" xfId="2732"/>
    <cellStyle name="40% - Énfasis5 50" xfId="1936"/>
    <cellStyle name="40% - Énfasis5 50 2" xfId="4257"/>
    <cellStyle name="40% - Énfasis5 51" xfId="1958"/>
    <cellStyle name="40% - Énfasis5 51 2" xfId="4279"/>
    <cellStyle name="40% - Énfasis5 52" xfId="1985"/>
    <cellStyle name="40% - Énfasis5 52 2" xfId="4306"/>
    <cellStyle name="40% - Énfasis5 53" xfId="2007"/>
    <cellStyle name="40% - Énfasis5 53 2" xfId="4328"/>
    <cellStyle name="40% - Énfasis5 54" xfId="2023"/>
    <cellStyle name="40% - Énfasis5 54 2" xfId="4344"/>
    <cellStyle name="40% - Énfasis5 55" xfId="2037"/>
    <cellStyle name="40% - Énfasis5 55 2" xfId="4358"/>
    <cellStyle name="40% - Énfasis5 56" xfId="2056"/>
    <cellStyle name="40% - Énfasis5 56 2" xfId="4377"/>
    <cellStyle name="40% - Énfasis5 57" xfId="2076"/>
    <cellStyle name="40% - Énfasis5 57 2" xfId="4397"/>
    <cellStyle name="40% - Énfasis5 58" xfId="2600"/>
    <cellStyle name="40% - Énfasis5 58 2" xfId="4418"/>
    <cellStyle name="40% - Énfasis5 59" xfId="2615"/>
    <cellStyle name="40% - Énfasis5 59 2" xfId="4433"/>
    <cellStyle name="40% - Énfasis5 6" xfId="447"/>
    <cellStyle name="40% - Énfasis5 6 2" xfId="1143"/>
    <cellStyle name="40% - Énfasis5 6 2 2" xfId="3461"/>
    <cellStyle name="40% - Énfasis5 6 3" xfId="2745"/>
    <cellStyle name="40% - Énfasis5 60" xfId="2634"/>
    <cellStyle name="40% - Énfasis5 60 2" xfId="4452"/>
    <cellStyle name="40% - Énfasis5 61" xfId="2650"/>
    <cellStyle name="40% - Énfasis5 61 2" xfId="4468"/>
    <cellStyle name="40% - Énfasis5 62" xfId="2665"/>
    <cellStyle name="40% - Énfasis5 62 2" xfId="4483"/>
    <cellStyle name="40% - Énfasis5 63" xfId="2678"/>
    <cellStyle name="40% - Énfasis5 7" xfId="460"/>
    <cellStyle name="40% - Énfasis5 7 2" xfId="1156"/>
    <cellStyle name="40% - Énfasis5 7 2 2" xfId="3475"/>
    <cellStyle name="40% - Énfasis5 7 3" xfId="2759"/>
    <cellStyle name="40% - Énfasis5 8" xfId="473"/>
    <cellStyle name="40% - Énfasis5 8 2" xfId="1169"/>
    <cellStyle name="40% - Énfasis5 8 2 2" xfId="3488"/>
    <cellStyle name="40% - Énfasis5 8 3" xfId="2772"/>
    <cellStyle name="40% - Énfasis5 9" xfId="486"/>
    <cellStyle name="40% - Énfasis5 9 2" xfId="1184"/>
    <cellStyle name="40% - Énfasis5 9 2 2" xfId="3505"/>
    <cellStyle name="40% - Énfasis5 9 3" xfId="2789"/>
    <cellStyle name="40% - Énfasis6" xfId="45" builtinId="51" customBuiltin="1"/>
    <cellStyle name="40% - Énfasis6 10" xfId="509"/>
    <cellStyle name="40% - Énfasis6 10 2" xfId="1207"/>
    <cellStyle name="40% - Énfasis6 10 2 2" xfId="3527"/>
    <cellStyle name="40% - Énfasis6 10 3" xfId="2812"/>
    <cellStyle name="40% - Énfasis6 11" xfId="535"/>
    <cellStyle name="40% - Énfasis6 11 2" xfId="1234"/>
    <cellStyle name="40% - Énfasis6 11 2 2" xfId="3554"/>
    <cellStyle name="40% - Énfasis6 11 3" xfId="2839"/>
    <cellStyle name="40% - Énfasis6 12" xfId="566"/>
    <cellStyle name="40% - Énfasis6 12 2" xfId="1265"/>
    <cellStyle name="40% - Énfasis6 12 2 2" xfId="3585"/>
    <cellStyle name="40% - Énfasis6 12 3" xfId="2870"/>
    <cellStyle name="40% - Énfasis6 13" xfId="589"/>
    <cellStyle name="40% - Énfasis6 13 2" xfId="1288"/>
    <cellStyle name="40% - Énfasis6 13 2 2" xfId="3608"/>
    <cellStyle name="40% - Énfasis6 13 3" xfId="2893"/>
    <cellStyle name="40% - Énfasis6 14" xfId="605"/>
    <cellStyle name="40% - Énfasis6 14 2" xfId="1304"/>
    <cellStyle name="40% - Énfasis6 14 2 2" xfId="3624"/>
    <cellStyle name="40% - Énfasis6 14 3" xfId="2909"/>
    <cellStyle name="40% - Énfasis6 15" xfId="618"/>
    <cellStyle name="40% - Énfasis6 15 2" xfId="1317"/>
    <cellStyle name="40% - Énfasis6 15 2 2" xfId="3637"/>
    <cellStyle name="40% - Énfasis6 15 3" xfId="2922"/>
    <cellStyle name="40% - Énfasis6 16" xfId="631"/>
    <cellStyle name="40% - Énfasis6 16 2" xfId="1330"/>
    <cellStyle name="40% - Énfasis6 16 2 2" xfId="3650"/>
    <cellStyle name="40% - Énfasis6 16 3" xfId="2935"/>
    <cellStyle name="40% - Énfasis6 17" xfId="648"/>
    <cellStyle name="40% - Énfasis6 17 2" xfId="1347"/>
    <cellStyle name="40% - Énfasis6 17 2 2" xfId="3667"/>
    <cellStyle name="40% - Énfasis6 17 3" xfId="2952"/>
    <cellStyle name="40% - Énfasis6 18" xfId="665"/>
    <cellStyle name="40% - Énfasis6 18 2" xfId="1364"/>
    <cellStyle name="40% - Énfasis6 18 2 2" xfId="3684"/>
    <cellStyle name="40% - Énfasis6 18 3" xfId="2969"/>
    <cellStyle name="40% - Énfasis6 19" xfId="681"/>
    <cellStyle name="40% - Énfasis6 19 2" xfId="1380"/>
    <cellStyle name="40% - Énfasis6 19 2 2" xfId="3700"/>
    <cellStyle name="40% - Énfasis6 19 3" xfId="2985"/>
    <cellStyle name="40% - Énfasis6 2" xfId="62"/>
    <cellStyle name="40% - Énfasis6 2 2" xfId="173"/>
    <cellStyle name="40% - Énfasis6 2 2 2" xfId="3411"/>
    <cellStyle name="40% - Énfasis6 2 3" xfId="274"/>
    <cellStyle name="40% - Énfasis6 2 3 2" xfId="2695"/>
    <cellStyle name="40% - Énfasis6 2 4" xfId="172"/>
    <cellStyle name="40% - Énfasis6 20" xfId="698"/>
    <cellStyle name="40% - Énfasis6 20 2" xfId="1397"/>
    <cellStyle name="40% - Énfasis6 20 2 2" xfId="3717"/>
    <cellStyle name="40% - Énfasis6 20 3" xfId="3002"/>
    <cellStyle name="40% - Énfasis6 21" xfId="716"/>
    <cellStyle name="40% - Énfasis6 21 2" xfId="1415"/>
    <cellStyle name="40% - Énfasis6 21 2 2" xfId="3735"/>
    <cellStyle name="40% - Énfasis6 21 3" xfId="3020"/>
    <cellStyle name="40% - Énfasis6 22" xfId="735"/>
    <cellStyle name="40% - Énfasis6 22 2" xfId="1434"/>
    <cellStyle name="40% - Énfasis6 22 2 2" xfId="3754"/>
    <cellStyle name="40% - Énfasis6 22 3" xfId="3039"/>
    <cellStyle name="40% - Énfasis6 23" xfId="754"/>
    <cellStyle name="40% - Énfasis6 23 2" xfId="1453"/>
    <cellStyle name="40% - Énfasis6 23 2 2" xfId="3773"/>
    <cellStyle name="40% - Énfasis6 23 3" xfId="3058"/>
    <cellStyle name="40% - Énfasis6 24" xfId="773"/>
    <cellStyle name="40% - Énfasis6 24 2" xfId="1472"/>
    <cellStyle name="40% - Énfasis6 24 2 2" xfId="3792"/>
    <cellStyle name="40% - Énfasis6 24 3" xfId="3077"/>
    <cellStyle name="40% - Énfasis6 25" xfId="796"/>
    <cellStyle name="40% - Énfasis6 25 2" xfId="1495"/>
    <cellStyle name="40% - Énfasis6 25 2 2" xfId="3815"/>
    <cellStyle name="40% - Énfasis6 25 3" xfId="3100"/>
    <cellStyle name="40% - Énfasis6 26" xfId="817"/>
    <cellStyle name="40% - Énfasis6 26 2" xfId="1516"/>
    <cellStyle name="40% - Énfasis6 26 2 2" xfId="3836"/>
    <cellStyle name="40% - Énfasis6 26 3" xfId="3121"/>
    <cellStyle name="40% - Énfasis6 27" xfId="837"/>
    <cellStyle name="40% - Énfasis6 27 2" xfId="1536"/>
    <cellStyle name="40% - Énfasis6 27 2 2" xfId="3856"/>
    <cellStyle name="40% - Énfasis6 27 3" xfId="3141"/>
    <cellStyle name="40% - Énfasis6 28" xfId="860"/>
    <cellStyle name="40% - Énfasis6 28 2" xfId="1559"/>
    <cellStyle name="40% - Énfasis6 28 2 2" xfId="3879"/>
    <cellStyle name="40% - Énfasis6 28 3" xfId="3164"/>
    <cellStyle name="40% - Énfasis6 29" xfId="880"/>
    <cellStyle name="40% - Énfasis6 29 2" xfId="1579"/>
    <cellStyle name="40% - Énfasis6 29 2 2" xfId="3899"/>
    <cellStyle name="40% - Énfasis6 29 3" xfId="3184"/>
    <cellStyle name="40% - Énfasis6 3" xfId="174"/>
    <cellStyle name="40% - Énfasis6 3 2" xfId="1106"/>
    <cellStyle name="40% - Énfasis6 3 2 2" xfId="3424"/>
    <cellStyle name="40% - Énfasis6 3 3" xfId="2708"/>
    <cellStyle name="40% - Énfasis6 30" xfId="902"/>
    <cellStyle name="40% - Énfasis6 30 2" xfId="1601"/>
    <cellStyle name="40% - Énfasis6 30 2 2" xfId="3921"/>
    <cellStyle name="40% - Énfasis6 30 3" xfId="3206"/>
    <cellStyle name="40% - Énfasis6 31" xfId="926"/>
    <cellStyle name="40% - Énfasis6 31 2" xfId="1625"/>
    <cellStyle name="40% - Énfasis6 31 2 2" xfId="3945"/>
    <cellStyle name="40% - Énfasis6 31 3" xfId="3230"/>
    <cellStyle name="40% - Énfasis6 32" xfId="941"/>
    <cellStyle name="40% - Énfasis6 32 2" xfId="1640"/>
    <cellStyle name="40% - Énfasis6 32 2 2" xfId="3960"/>
    <cellStyle name="40% - Énfasis6 32 3" xfId="3245"/>
    <cellStyle name="40% - Énfasis6 33" xfId="960"/>
    <cellStyle name="40% - Énfasis6 33 2" xfId="1659"/>
    <cellStyle name="40% - Énfasis6 33 2 2" xfId="3979"/>
    <cellStyle name="40% - Énfasis6 33 3" xfId="3264"/>
    <cellStyle name="40% - Énfasis6 34" xfId="979"/>
    <cellStyle name="40% - Énfasis6 34 2" xfId="1679"/>
    <cellStyle name="40% - Énfasis6 34 2 2" xfId="3999"/>
    <cellStyle name="40% - Énfasis6 34 3" xfId="3283"/>
    <cellStyle name="40% - Énfasis6 35" xfId="998"/>
    <cellStyle name="40% - Énfasis6 35 2" xfId="1698"/>
    <cellStyle name="40% - Énfasis6 35 2 2" xfId="4019"/>
    <cellStyle name="40% - Énfasis6 35 3" xfId="3304"/>
    <cellStyle name="40% - Énfasis6 36" xfId="1016"/>
    <cellStyle name="40% - Énfasis6 36 2" xfId="1716"/>
    <cellStyle name="40% - Énfasis6 36 2 2" xfId="4037"/>
    <cellStyle name="40% - Énfasis6 36 3" xfId="3322"/>
    <cellStyle name="40% - Énfasis6 37" xfId="1038"/>
    <cellStyle name="40% - Énfasis6 37 2" xfId="1738"/>
    <cellStyle name="40% - Énfasis6 37 2 2" xfId="4059"/>
    <cellStyle name="40% - Énfasis6 37 3" xfId="3344"/>
    <cellStyle name="40% - Énfasis6 38" xfId="1056"/>
    <cellStyle name="40% - Énfasis6 38 2" xfId="1756"/>
    <cellStyle name="40% - Énfasis6 38 2 2" xfId="4077"/>
    <cellStyle name="40% - Énfasis6 38 3" xfId="3362"/>
    <cellStyle name="40% - Énfasis6 39" xfId="1076"/>
    <cellStyle name="40% - Énfasis6 39 2" xfId="3382"/>
    <cellStyle name="40% - Énfasis6 4" xfId="175"/>
    <cellStyle name="40% - Énfasis6 4 2" xfId="1119"/>
    <cellStyle name="40% - Énfasis6 4 2 2" xfId="3437"/>
    <cellStyle name="40% - Énfasis6 4 3" xfId="2721"/>
    <cellStyle name="40% - Énfasis6 40" xfId="1090"/>
    <cellStyle name="40% - Énfasis6 40 2" xfId="3395"/>
    <cellStyle name="40% - Énfasis6 41" xfId="1775"/>
    <cellStyle name="40% - Énfasis6 41 2" xfId="4096"/>
    <cellStyle name="40% - Énfasis6 42" xfId="1796"/>
    <cellStyle name="40% - Énfasis6 42 2" xfId="4117"/>
    <cellStyle name="40% - Énfasis6 43" xfId="1821"/>
    <cellStyle name="40% - Énfasis6 43 2" xfId="4142"/>
    <cellStyle name="40% - Énfasis6 44" xfId="1835"/>
    <cellStyle name="40% - Énfasis6 44 2" xfId="4156"/>
    <cellStyle name="40% - Énfasis6 45" xfId="1852"/>
    <cellStyle name="40% - Énfasis6 45 2" xfId="4173"/>
    <cellStyle name="40% - Énfasis6 46" xfId="1871"/>
    <cellStyle name="40% - Énfasis6 46 2" xfId="4192"/>
    <cellStyle name="40% - Énfasis6 47" xfId="1893"/>
    <cellStyle name="40% - Énfasis6 47 2" xfId="4214"/>
    <cellStyle name="40% - Énfasis6 48" xfId="1910"/>
    <cellStyle name="40% - Énfasis6 48 2" xfId="4231"/>
    <cellStyle name="40% - Énfasis6 49" xfId="1923"/>
    <cellStyle name="40% - Énfasis6 49 2" xfId="4244"/>
    <cellStyle name="40% - Énfasis6 5" xfId="176"/>
    <cellStyle name="40% - Énfasis6 5 2" xfId="1132"/>
    <cellStyle name="40% - Énfasis6 5 2 2" xfId="3450"/>
    <cellStyle name="40% - Énfasis6 5 3" xfId="2734"/>
    <cellStyle name="40% - Énfasis6 5 4" xfId="437"/>
    <cellStyle name="40% - Énfasis6 50" xfId="1938"/>
    <cellStyle name="40% - Énfasis6 50 2" xfId="4259"/>
    <cellStyle name="40% - Énfasis6 51" xfId="1960"/>
    <cellStyle name="40% - Énfasis6 51 2" xfId="4281"/>
    <cellStyle name="40% - Énfasis6 52" xfId="1989"/>
    <cellStyle name="40% - Énfasis6 52 2" xfId="4310"/>
    <cellStyle name="40% - Énfasis6 53" xfId="2009"/>
    <cellStyle name="40% - Énfasis6 53 2" xfId="4330"/>
    <cellStyle name="40% - Énfasis6 54" xfId="2025"/>
    <cellStyle name="40% - Énfasis6 54 2" xfId="4346"/>
    <cellStyle name="40% - Énfasis6 55" xfId="2039"/>
    <cellStyle name="40% - Énfasis6 55 2" xfId="4360"/>
    <cellStyle name="40% - Énfasis6 56" xfId="2058"/>
    <cellStyle name="40% - Énfasis6 56 2" xfId="4379"/>
    <cellStyle name="40% - Énfasis6 57" xfId="2078"/>
    <cellStyle name="40% - Énfasis6 57 2" xfId="4399"/>
    <cellStyle name="40% - Énfasis6 58" xfId="2602"/>
    <cellStyle name="40% - Énfasis6 58 2" xfId="4420"/>
    <cellStyle name="40% - Énfasis6 59" xfId="2617"/>
    <cellStyle name="40% - Énfasis6 59 2" xfId="4435"/>
    <cellStyle name="40% - Énfasis6 6" xfId="449"/>
    <cellStyle name="40% - Énfasis6 6 2" xfId="1145"/>
    <cellStyle name="40% - Énfasis6 6 2 2" xfId="3463"/>
    <cellStyle name="40% - Énfasis6 6 3" xfId="2747"/>
    <cellStyle name="40% - Énfasis6 60" xfId="2636"/>
    <cellStyle name="40% - Énfasis6 60 2" xfId="4454"/>
    <cellStyle name="40% - Énfasis6 61" xfId="2652"/>
    <cellStyle name="40% - Énfasis6 61 2" xfId="4470"/>
    <cellStyle name="40% - Énfasis6 62" xfId="2667"/>
    <cellStyle name="40% - Énfasis6 62 2" xfId="4485"/>
    <cellStyle name="40% - Énfasis6 63" xfId="2680"/>
    <cellStyle name="40% - Énfasis6 7" xfId="462"/>
    <cellStyle name="40% - Énfasis6 7 2" xfId="1158"/>
    <cellStyle name="40% - Énfasis6 7 2 2" xfId="3477"/>
    <cellStyle name="40% - Énfasis6 7 3" xfId="2761"/>
    <cellStyle name="40% - Énfasis6 8" xfId="475"/>
    <cellStyle name="40% - Énfasis6 8 2" xfId="1171"/>
    <cellStyle name="40% - Énfasis6 8 2 2" xfId="3490"/>
    <cellStyle name="40% - Énfasis6 8 3" xfId="2774"/>
    <cellStyle name="40% - Énfasis6 9" xfId="488"/>
    <cellStyle name="40% - Énfasis6 9 2" xfId="1186"/>
    <cellStyle name="40% - Énfasis6 9 2 2" xfId="3507"/>
    <cellStyle name="40% - Énfasis6 9 3" xfId="2791"/>
    <cellStyle name="60% - Énfasis1" xfId="26" builtinId="32" customBuiltin="1"/>
    <cellStyle name="60% - Énfasis1 2" xfId="100"/>
    <cellStyle name="60% - Énfasis1 2 2" xfId="178"/>
    <cellStyle name="60% - Énfasis1 2 3" xfId="275"/>
    <cellStyle name="60% - Énfasis1 2 4" xfId="177"/>
    <cellStyle name="60% - Énfasis1 3" xfId="179"/>
    <cellStyle name="60% - Énfasis2" xfId="30" builtinId="36" customBuiltin="1"/>
    <cellStyle name="60% - Énfasis2 2" xfId="91"/>
    <cellStyle name="60% - Énfasis2 2 2" xfId="180"/>
    <cellStyle name="60% - Énfasis3" xfId="34" builtinId="40" customBuiltin="1"/>
    <cellStyle name="60% - Énfasis3 2" xfId="60"/>
    <cellStyle name="60% - Énfasis3 2 2" xfId="182"/>
    <cellStyle name="60% - Énfasis3 2 3" xfId="276"/>
    <cellStyle name="60% - Énfasis3 2 4" xfId="181"/>
    <cellStyle name="60% - Énfasis3 3" xfId="183"/>
    <cellStyle name="60% - Énfasis4" xfId="38" builtinId="44" customBuiltin="1"/>
    <cellStyle name="60% - Énfasis4 2" xfId="66"/>
    <cellStyle name="60% - Énfasis4 2 2" xfId="185"/>
    <cellStyle name="60% - Énfasis4 2 3" xfId="277"/>
    <cellStyle name="60% - Énfasis4 2 4" xfId="184"/>
    <cellStyle name="60% - Énfasis4 3" xfId="186"/>
    <cellStyle name="60% - Énfasis5" xfId="42" builtinId="48" customBuiltin="1"/>
    <cellStyle name="60% - Énfasis5 2" xfId="79"/>
    <cellStyle name="60% - Énfasis5 2 2" xfId="187"/>
    <cellStyle name="60% - Énfasis6" xfId="46" builtinId="52" customBuiltin="1"/>
    <cellStyle name="60% - Énfasis6 2" xfId="95"/>
    <cellStyle name="60% - Énfasis6 2 2" xfId="189"/>
    <cellStyle name="60% - Énfasis6 2 3" xfId="278"/>
    <cellStyle name="60% - Énfasis6 2 4" xfId="188"/>
    <cellStyle name="60% - Énfasis6 3" xfId="190"/>
    <cellStyle name="Buena" xfId="11" builtinId="26" customBuiltin="1"/>
    <cellStyle name="Buena 2" xfId="85"/>
    <cellStyle name="Buena 2 2" xfId="191"/>
    <cellStyle name="Cálculo" xfId="16" builtinId="22" customBuiltin="1"/>
    <cellStyle name="Cálculo 2" xfId="61"/>
    <cellStyle name="Cálculo 2 2" xfId="193"/>
    <cellStyle name="Cálculo 2 3" xfId="279"/>
    <cellStyle name="Cálculo 2 4" xfId="192"/>
    <cellStyle name="Cálculo 3" xfId="194"/>
    <cellStyle name="Celda de comprobación" xfId="18" builtinId="23" customBuiltin="1"/>
    <cellStyle name="Celda de comprobación 2" xfId="69"/>
    <cellStyle name="Celda de comprobación 2 2" xfId="195"/>
    <cellStyle name="Celda vinculada" xfId="17" builtinId="24" customBuiltin="1"/>
    <cellStyle name="Celda vinculada 2" xfId="80"/>
    <cellStyle name="Celda vinculada 2 2" xfId="196"/>
    <cellStyle name="Comma" xfId="4493"/>
    <cellStyle name="Comma 2" xfId="313"/>
    <cellStyle name="Comma 2 2" xfId="335"/>
    <cellStyle name="Comma0" xfId="4494"/>
    <cellStyle name="Currency" xfId="4495"/>
    <cellStyle name="Currency 2" xfId="314"/>
    <cellStyle name="Currency 2 2" xfId="334"/>
    <cellStyle name="Currency0" xfId="4496"/>
    <cellStyle name="Encabezado 4" xfId="10" builtinId="19" customBuiltin="1"/>
    <cellStyle name="Encabezado 4 2" xfId="90"/>
    <cellStyle name="Encabezado 4 2 2" xfId="198"/>
    <cellStyle name="Encabezado 4 2 3" xfId="280"/>
    <cellStyle name="Encabezado 4 2 4" xfId="197"/>
    <cellStyle name="Encabezado 4 3" xfId="199"/>
    <cellStyle name="Énfasis1" xfId="23" builtinId="29" customBuiltin="1"/>
    <cellStyle name="Énfasis1 2" xfId="97"/>
    <cellStyle name="Énfasis1 2 2" xfId="201"/>
    <cellStyle name="Énfasis1 2 3" xfId="281"/>
    <cellStyle name="Énfasis1 2 4" xfId="200"/>
    <cellStyle name="Énfasis1 3" xfId="202"/>
    <cellStyle name="Énfasis2" xfId="27" builtinId="33" customBuiltin="1"/>
    <cellStyle name="Énfasis2 2" xfId="67"/>
    <cellStyle name="Énfasis2 2 2" xfId="203"/>
    <cellStyle name="Énfasis3" xfId="31" builtinId="37" customBuiltin="1"/>
    <cellStyle name="Énfasis3 2" xfId="82"/>
    <cellStyle name="Énfasis3 2 2" xfId="204"/>
    <cellStyle name="Énfasis4" xfId="35" builtinId="41" customBuiltin="1"/>
    <cellStyle name="Énfasis4 2" xfId="63"/>
    <cellStyle name="Énfasis4 2 2" xfId="206"/>
    <cellStyle name="Énfasis4 2 3" xfId="282"/>
    <cellStyle name="Énfasis4 2 4" xfId="205"/>
    <cellStyle name="Énfasis4 3" xfId="207"/>
    <cellStyle name="Énfasis5" xfId="39" builtinId="45" customBuiltin="1"/>
    <cellStyle name="Énfasis5 2" xfId="87"/>
    <cellStyle name="Énfasis5 2 2" xfId="208"/>
    <cellStyle name="Énfasis6" xfId="43" builtinId="49" customBuiltin="1"/>
    <cellStyle name="Énfasis6 2" xfId="93"/>
    <cellStyle name="Énfasis6 2 2" xfId="209"/>
    <cellStyle name="Entrada" xfId="14" builtinId="20" customBuiltin="1"/>
    <cellStyle name="Entrada 2" xfId="94"/>
    <cellStyle name="Entrada 2 2" xfId="210"/>
    <cellStyle name="Euro" xfId="4497"/>
    <cellStyle name="Fecha" xfId="4498"/>
    <cellStyle name="Fixed" xfId="4499"/>
    <cellStyle name="Heading 1" xfId="4500"/>
    <cellStyle name="Heading 2" xfId="4501"/>
    <cellStyle name="Hipervínculo 2" xfId="3"/>
    <cellStyle name="Hipervínculo 3" xfId="113"/>
    <cellStyle name="Incorrecto" xfId="12" builtinId="27" customBuiltin="1"/>
    <cellStyle name="Incorrecto 2" xfId="101"/>
    <cellStyle name="Incorrecto 2 2" xfId="211"/>
    <cellStyle name="Millares" xfId="306" builtinId="3"/>
    <cellStyle name="Millares [0] 2" xfId="347"/>
    <cellStyle name="Millares [0] 2 2" xfId="2086"/>
    <cellStyle name="Millares [0] 2 2 2" xfId="4502"/>
    <cellStyle name="Millares [0] 2 3" xfId="4503"/>
    <cellStyle name="Millares [0] 2 4" xfId="424"/>
    <cellStyle name="Millares [0] 3" xfId="4504"/>
    <cellStyle name="Millares [0] 3 2" xfId="4505"/>
    <cellStyle name="Millares [0] 4" xfId="4506"/>
    <cellStyle name="Millares 10" xfId="348"/>
    <cellStyle name="Millares 10 2" xfId="1194"/>
    <cellStyle name="Millares 10 2 2" xfId="3514"/>
    <cellStyle name="Millares 10 2 3" xfId="2298"/>
    <cellStyle name="Millares 10 3" xfId="2799"/>
    <cellStyle name="Millares 10 4" xfId="2097"/>
    <cellStyle name="Millares 10 5" xfId="496"/>
    <cellStyle name="Millares 100" xfId="781"/>
    <cellStyle name="Millares 100 2" xfId="1480"/>
    <cellStyle name="Millares 100 2 2" xfId="3800"/>
    <cellStyle name="Millares 100 2 3" xfId="2389"/>
    <cellStyle name="Millares 100 3" xfId="3085"/>
    <cellStyle name="Millares 100 4" xfId="2188"/>
    <cellStyle name="Millares 101" xfId="782"/>
    <cellStyle name="Millares 101 2" xfId="1481"/>
    <cellStyle name="Millares 101 2 2" xfId="3801"/>
    <cellStyle name="Millares 101 2 3" xfId="2390"/>
    <cellStyle name="Millares 101 3" xfId="3086"/>
    <cellStyle name="Millares 101 4" xfId="2189"/>
    <cellStyle name="Millares 102" xfId="797"/>
    <cellStyle name="Millares 102 2" xfId="1496"/>
    <cellStyle name="Millares 102 2 2" xfId="3816"/>
    <cellStyle name="Millares 102 2 3" xfId="2393"/>
    <cellStyle name="Millares 102 3" xfId="3101"/>
    <cellStyle name="Millares 102 4" xfId="2192"/>
    <cellStyle name="Millares 103" xfId="779"/>
    <cellStyle name="Millares 103 2" xfId="1478"/>
    <cellStyle name="Millares 103 2 2" xfId="3798"/>
    <cellStyle name="Millares 103 2 3" xfId="2388"/>
    <cellStyle name="Millares 103 3" xfId="3083"/>
    <cellStyle name="Millares 103 4" xfId="2187"/>
    <cellStyle name="Millares 104" xfId="778"/>
    <cellStyle name="Millares 104 2" xfId="1477"/>
    <cellStyle name="Millares 104 2 2" xfId="3797"/>
    <cellStyle name="Millares 104 2 3" xfId="2387"/>
    <cellStyle name="Millares 104 3" xfId="3082"/>
    <cellStyle name="Millares 104 4" xfId="2186"/>
    <cellStyle name="Millares 105" xfId="775"/>
    <cellStyle name="Millares 105 2" xfId="1474"/>
    <cellStyle name="Millares 105 2 2" xfId="3794"/>
    <cellStyle name="Millares 105 2 3" xfId="2384"/>
    <cellStyle name="Millares 105 3" xfId="3079"/>
    <cellStyle name="Millares 105 4" xfId="2183"/>
    <cellStyle name="Millares 106" xfId="785"/>
    <cellStyle name="Millares 106 2" xfId="1484"/>
    <cellStyle name="Millares 106 2 2" xfId="3804"/>
    <cellStyle name="Millares 106 2 3" xfId="2391"/>
    <cellStyle name="Millares 106 3" xfId="3089"/>
    <cellStyle name="Millares 106 4" xfId="2190"/>
    <cellStyle name="Millares 107" xfId="788"/>
    <cellStyle name="Millares 107 2" xfId="1487"/>
    <cellStyle name="Millares 107 2 2" xfId="3807"/>
    <cellStyle name="Millares 107 2 3" xfId="2392"/>
    <cellStyle name="Millares 107 3" xfId="3092"/>
    <cellStyle name="Millares 107 4" xfId="2191"/>
    <cellStyle name="Millares 108" xfId="798"/>
    <cellStyle name="Millares 108 2" xfId="1497"/>
    <cellStyle name="Millares 108 2 2" xfId="3817"/>
    <cellStyle name="Millares 108 2 3" xfId="2394"/>
    <cellStyle name="Millares 108 3" xfId="3102"/>
    <cellStyle name="Millares 108 4" xfId="2193"/>
    <cellStyle name="Millares 109" xfId="799"/>
    <cellStyle name="Millares 109 2" xfId="1498"/>
    <cellStyle name="Millares 109 2 2" xfId="3818"/>
    <cellStyle name="Millares 109 2 3" xfId="2395"/>
    <cellStyle name="Millares 109 3" xfId="3103"/>
    <cellStyle name="Millares 109 4" xfId="2194"/>
    <cellStyle name="Millares 11" xfId="349"/>
    <cellStyle name="Millares 11 2" xfId="1191"/>
    <cellStyle name="Millares 11 2 2" xfId="3511"/>
    <cellStyle name="Millares 11 2 3" xfId="2296"/>
    <cellStyle name="Millares 11 3" xfId="2796"/>
    <cellStyle name="Millares 11 4" xfId="2095"/>
    <cellStyle name="Millares 11 5" xfId="493"/>
    <cellStyle name="Millares 110" xfId="800"/>
    <cellStyle name="Millares 110 2" xfId="1499"/>
    <cellStyle name="Millares 110 2 2" xfId="3819"/>
    <cellStyle name="Millares 110 2 3" xfId="2396"/>
    <cellStyle name="Millares 110 3" xfId="3104"/>
    <cellStyle name="Millares 110 4" xfId="2195"/>
    <cellStyle name="Millares 111" xfId="804"/>
    <cellStyle name="Millares 111 2" xfId="1503"/>
    <cellStyle name="Millares 111 2 2" xfId="3823"/>
    <cellStyle name="Millares 111 2 3" xfId="2399"/>
    <cellStyle name="Millares 111 3" xfId="3108"/>
    <cellStyle name="Millares 111 4" xfId="2198"/>
    <cellStyle name="Millares 112" xfId="805"/>
    <cellStyle name="Millares 112 2" xfId="1504"/>
    <cellStyle name="Millares 112 2 2" xfId="3824"/>
    <cellStyle name="Millares 112 2 3" xfId="2400"/>
    <cellStyle name="Millares 112 3" xfId="3109"/>
    <cellStyle name="Millares 112 4" xfId="2199"/>
    <cellStyle name="Millares 113" xfId="818"/>
    <cellStyle name="Millares 113 2" xfId="1517"/>
    <cellStyle name="Millares 113 2 2" xfId="3837"/>
    <cellStyle name="Millares 113 2 3" xfId="2401"/>
    <cellStyle name="Millares 113 3" xfId="3122"/>
    <cellStyle name="Millares 113 4" xfId="2200"/>
    <cellStyle name="Millares 114" xfId="802"/>
    <cellStyle name="Millares 114 2" xfId="1501"/>
    <cellStyle name="Millares 114 2 2" xfId="3821"/>
    <cellStyle name="Millares 114 2 3" xfId="2398"/>
    <cellStyle name="Millares 114 3" xfId="3106"/>
    <cellStyle name="Millares 114 4" xfId="2197"/>
    <cellStyle name="Millares 115" xfId="801"/>
    <cellStyle name="Millares 115 2" xfId="1500"/>
    <cellStyle name="Millares 115 2 2" xfId="3820"/>
    <cellStyle name="Millares 115 2 3" xfId="2397"/>
    <cellStyle name="Millares 115 3" xfId="3105"/>
    <cellStyle name="Millares 115 4" xfId="2196"/>
    <cellStyle name="Millares 116" xfId="819"/>
    <cellStyle name="Millares 116 2" xfId="1518"/>
    <cellStyle name="Millares 116 2 2" xfId="3838"/>
    <cellStyle name="Millares 116 2 3" xfId="2402"/>
    <cellStyle name="Millares 116 3" xfId="3123"/>
    <cellStyle name="Millares 116 4" xfId="2201"/>
    <cellStyle name="Millares 117" xfId="822"/>
    <cellStyle name="Millares 117 2" xfId="1521"/>
    <cellStyle name="Millares 117 2 2" xfId="3841"/>
    <cellStyle name="Millares 117 2 3" xfId="2405"/>
    <cellStyle name="Millares 117 3" xfId="3126"/>
    <cellStyle name="Millares 117 4" xfId="2204"/>
    <cellStyle name="Millares 118" xfId="825"/>
    <cellStyle name="Millares 118 2" xfId="1524"/>
    <cellStyle name="Millares 118 2 2" xfId="3844"/>
    <cellStyle name="Millares 118 2 3" xfId="2407"/>
    <cellStyle name="Millares 118 3" xfId="3129"/>
    <cellStyle name="Millares 118 4" xfId="2206"/>
    <cellStyle name="Millares 119" xfId="821"/>
    <cellStyle name="Millares 119 2" xfId="1520"/>
    <cellStyle name="Millares 119 2 2" xfId="3840"/>
    <cellStyle name="Millares 119 2 3" xfId="2404"/>
    <cellStyle name="Millares 119 3" xfId="3125"/>
    <cellStyle name="Millares 119 4" xfId="2203"/>
    <cellStyle name="Millares 12" xfId="350"/>
    <cellStyle name="Millares 12 2" xfId="1209"/>
    <cellStyle name="Millares 12 2 2" xfId="3529"/>
    <cellStyle name="Millares 12 2 3" xfId="2301"/>
    <cellStyle name="Millares 12 3" xfId="2814"/>
    <cellStyle name="Millares 12 4" xfId="2100"/>
    <cellStyle name="Millares 12 5" xfId="511"/>
    <cellStyle name="Millares 120" xfId="838"/>
    <cellStyle name="Millares 120 2" xfId="1537"/>
    <cellStyle name="Millares 120 2 2" xfId="3857"/>
    <cellStyle name="Millares 120 2 3" xfId="2408"/>
    <cellStyle name="Millares 120 3" xfId="3142"/>
    <cellStyle name="Millares 120 4" xfId="2207"/>
    <cellStyle name="Millares 121" xfId="823"/>
    <cellStyle name="Millares 121 2" xfId="1522"/>
    <cellStyle name="Millares 121 2 2" xfId="3842"/>
    <cellStyle name="Millares 121 2 3" xfId="2406"/>
    <cellStyle name="Millares 121 3" xfId="3127"/>
    <cellStyle name="Millares 121 4" xfId="2205"/>
    <cellStyle name="Millares 122" xfId="840"/>
    <cellStyle name="Millares 122 2" xfId="1539"/>
    <cellStyle name="Millares 122 2 2" xfId="3859"/>
    <cellStyle name="Millares 122 2 3" xfId="2410"/>
    <cellStyle name="Millares 122 3" xfId="3144"/>
    <cellStyle name="Millares 122 4" xfId="2209"/>
    <cellStyle name="Millares 123" xfId="820"/>
    <cellStyle name="Millares 123 2" xfId="1519"/>
    <cellStyle name="Millares 123 2 2" xfId="3839"/>
    <cellStyle name="Millares 123 2 3" xfId="2403"/>
    <cellStyle name="Millares 123 3" xfId="3124"/>
    <cellStyle name="Millares 123 4" xfId="2202"/>
    <cellStyle name="Millares 124" xfId="839"/>
    <cellStyle name="Millares 124 2" xfId="1538"/>
    <cellStyle name="Millares 124 2 2" xfId="3858"/>
    <cellStyle name="Millares 124 2 3" xfId="2409"/>
    <cellStyle name="Millares 124 3" xfId="3143"/>
    <cellStyle name="Millares 124 4" xfId="2208"/>
    <cellStyle name="Millares 125" xfId="842"/>
    <cellStyle name="Millares 125 2" xfId="1541"/>
    <cellStyle name="Millares 125 2 2" xfId="3861"/>
    <cellStyle name="Millares 125 2 3" xfId="2412"/>
    <cellStyle name="Millares 125 3" xfId="3146"/>
    <cellStyle name="Millares 125 4" xfId="2211"/>
    <cellStyle name="Millares 126" xfId="843"/>
    <cellStyle name="Millares 126 2" xfId="1542"/>
    <cellStyle name="Millares 126 2 2" xfId="3862"/>
    <cellStyle name="Millares 126 2 3" xfId="2413"/>
    <cellStyle name="Millares 126 3" xfId="3147"/>
    <cellStyle name="Millares 126 4" xfId="2212"/>
    <cellStyle name="Millares 127" xfId="847"/>
    <cellStyle name="Millares 127 2" xfId="1546"/>
    <cellStyle name="Millares 127 2 2" xfId="3866"/>
    <cellStyle name="Millares 127 2 3" xfId="2416"/>
    <cellStyle name="Millares 127 3" xfId="3151"/>
    <cellStyle name="Millares 127 4" xfId="2215"/>
    <cellStyle name="Millares 128" xfId="848"/>
    <cellStyle name="Millares 128 2" xfId="1547"/>
    <cellStyle name="Millares 128 2 2" xfId="3867"/>
    <cellStyle name="Millares 128 2 3" xfId="2417"/>
    <cellStyle name="Millares 128 3" xfId="3152"/>
    <cellStyle name="Millares 128 4" xfId="2216"/>
    <cellStyle name="Millares 129" xfId="861"/>
    <cellStyle name="Millares 129 2" xfId="1560"/>
    <cellStyle name="Millares 129 2 2" xfId="3880"/>
    <cellStyle name="Millares 129 2 3" xfId="2418"/>
    <cellStyle name="Millares 129 3" xfId="3165"/>
    <cellStyle name="Millares 129 4" xfId="2217"/>
    <cellStyle name="Millares 13" xfId="351"/>
    <cellStyle name="Millares 13 2" xfId="1208"/>
    <cellStyle name="Millares 13 2 2" xfId="3528"/>
    <cellStyle name="Millares 13 2 3" xfId="2300"/>
    <cellStyle name="Millares 13 3" xfId="2813"/>
    <cellStyle name="Millares 13 4" xfId="2099"/>
    <cellStyle name="Millares 13 5" xfId="510"/>
    <cellStyle name="Millares 130" xfId="845"/>
    <cellStyle name="Millares 130 2" xfId="1544"/>
    <cellStyle name="Millares 130 2 2" xfId="3864"/>
    <cellStyle name="Millares 130 2 3" xfId="2415"/>
    <cellStyle name="Millares 130 3" xfId="3149"/>
    <cellStyle name="Millares 130 4" xfId="2214"/>
    <cellStyle name="Millares 131" xfId="844"/>
    <cellStyle name="Millares 131 2" xfId="1543"/>
    <cellStyle name="Millares 131 2 2" xfId="3863"/>
    <cellStyle name="Millares 131 2 3" xfId="2414"/>
    <cellStyle name="Millares 131 3" xfId="3148"/>
    <cellStyle name="Millares 131 4" xfId="2213"/>
    <cellStyle name="Millares 132" xfId="841"/>
    <cellStyle name="Millares 132 2" xfId="1540"/>
    <cellStyle name="Millares 132 2 2" xfId="3860"/>
    <cellStyle name="Millares 132 2 3" xfId="2411"/>
    <cellStyle name="Millares 132 3" xfId="3145"/>
    <cellStyle name="Millares 132 4" xfId="2210"/>
    <cellStyle name="Millares 133" xfId="862"/>
    <cellStyle name="Millares 133 2" xfId="1561"/>
    <cellStyle name="Millares 133 2 2" xfId="3881"/>
    <cellStyle name="Millares 133 2 3" xfId="2419"/>
    <cellStyle name="Millares 133 3" xfId="3166"/>
    <cellStyle name="Millares 133 4" xfId="2218"/>
    <cellStyle name="Millares 134" xfId="863"/>
    <cellStyle name="Millares 134 2" xfId="1562"/>
    <cellStyle name="Millares 134 2 2" xfId="3882"/>
    <cellStyle name="Millares 134 2 3" xfId="2420"/>
    <cellStyle name="Millares 134 3" xfId="3167"/>
    <cellStyle name="Millares 134 4" xfId="2219"/>
    <cellStyle name="Millares 135" xfId="867"/>
    <cellStyle name="Millares 135 2" xfId="1566"/>
    <cellStyle name="Millares 135 2 2" xfId="3886"/>
    <cellStyle name="Millares 135 2 3" xfId="2423"/>
    <cellStyle name="Millares 135 3" xfId="3171"/>
    <cellStyle name="Millares 135 4" xfId="2222"/>
    <cellStyle name="Millares 136" xfId="868"/>
    <cellStyle name="Millares 136 2" xfId="1567"/>
    <cellStyle name="Millares 136 2 2" xfId="3887"/>
    <cellStyle name="Millares 136 2 3" xfId="2424"/>
    <cellStyle name="Millares 136 3" xfId="3172"/>
    <cellStyle name="Millares 136 4" xfId="2223"/>
    <cellStyle name="Millares 137" xfId="881"/>
    <cellStyle name="Millares 137 2" xfId="1580"/>
    <cellStyle name="Millares 137 2 2" xfId="3900"/>
    <cellStyle name="Millares 137 2 3" xfId="2425"/>
    <cellStyle name="Millares 137 3" xfId="3185"/>
    <cellStyle name="Millares 137 4" xfId="2224"/>
    <cellStyle name="Millares 138" xfId="865"/>
    <cellStyle name="Millares 138 2" xfId="1564"/>
    <cellStyle name="Millares 138 2 2" xfId="3884"/>
    <cellStyle name="Millares 138 2 3" xfId="2422"/>
    <cellStyle name="Millares 138 3" xfId="3169"/>
    <cellStyle name="Millares 138 4" xfId="2221"/>
    <cellStyle name="Millares 139" xfId="864"/>
    <cellStyle name="Millares 139 2" xfId="1563"/>
    <cellStyle name="Millares 139 2 2" xfId="3883"/>
    <cellStyle name="Millares 139 2 3" xfId="2421"/>
    <cellStyle name="Millares 139 3" xfId="3168"/>
    <cellStyle name="Millares 139 4" xfId="2220"/>
    <cellStyle name="Millares 14" xfId="352"/>
    <cellStyle name="Millares 14 2" xfId="1210"/>
    <cellStyle name="Millares 14 2 2" xfId="3530"/>
    <cellStyle name="Millares 14 2 3" xfId="2302"/>
    <cellStyle name="Millares 14 3" xfId="2815"/>
    <cellStyle name="Millares 14 4" xfId="2101"/>
    <cellStyle name="Millares 14 5" xfId="512"/>
    <cellStyle name="Millares 140" xfId="882"/>
    <cellStyle name="Millares 140 2" xfId="1581"/>
    <cellStyle name="Millares 140 2 2" xfId="3901"/>
    <cellStyle name="Millares 140 2 3" xfId="2426"/>
    <cellStyle name="Millares 140 3" xfId="3186"/>
    <cellStyle name="Millares 140 4" xfId="2225"/>
    <cellStyle name="Millares 141" xfId="883"/>
    <cellStyle name="Millares 141 2" xfId="1582"/>
    <cellStyle name="Millares 141 2 2" xfId="3902"/>
    <cellStyle name="Millares 141 2 3" xfId="2427"/>
    <cellStyle name="Millares 141 3" xfId="3187"/>
    <cellStyle name="Millares 141 4" xfId="2226"/>
    <cellStyle name="Millares 142" xfId="889"/>
    <cellStyle name="Millares 142 2" xfId="1588"/>
    <cellStyle name="Millares 142 2 2" xfId="3908"/>
    <cellStyle name="Millares 142 2 3" xfId="2432"/>
    <cellStyle name="Millares 142 3" xfId="3193"/>
    <cellStyle name="Millares 142 4" xfId="2231"/>
    <cellStyle name="Millares 143" xfId="890"/>
    <cellStyle name="Millares 143 2" xfId="1589"/>
    <cellStyle name="Millares 143 2 2" xfId="3909"/>
    <cellStyle name="Millares 143 2 3" xfId="2433"/>
    <cellStyle name="Millares 143 3" xfId="3194"/>
    <cellStyle name="Millares 143 4" xfId="2232"/>
    <cellStyle name="Millares 144" xfId="903"/>
    <cellStyle name="Millares 144 2" xfId="1602"/>
    <cellStyle name="Millares 144 2 2" xfId="3922"/>
    <cellStyle name="Millares 144 2 3" xfId="2434"/>
    <cellStyle name="Millares 144 3" xfId="3207"/>
    <cellStyle name="Millares 144 4" xfId="2233"/>
    <cellStyle name="Millares 145" xfId="886"/>
    <cellStyle name="Millares 145 2" xfId="1585"/>
    <cellStyle name="Millares 145 2 2" xfId="3905"/>
    <cellStyle name="Millares 145 2 3" xfId="2430"/>
    <cellStyle name="Millares 145 3" xfId="3190"/>
    <cellStyle name="Millares 145 4" xfId="2229"/>
    <cellStyle name="Millares 146" xfId="885"/>
    <cellStyle name="Millares 146 2" xfId="1584"/>
    <cellStyle name="Millares 146 2 2" xfId="3904"/>
    <cellStyle name="Millares 146 2 3" xfId="2429"/>
    <cellStyle name="Millares 146 3" xfId="3189"/>
    <cellStyle name="Millares 146 4" xfId="2228"/>
    <cellStyle name="Millares 147" xfId="904"/>
    <cellStyle name="Millares 147 2" xfId="1603"/>
    <cellStyle name="Millares 147 2 2" xfId="3923"/>
    <cellStyle name="Millares 147 2 3" xfId="2435"/>
    <cellStyle name="Millares 147 3" xfId="3208"/>
    <cellStyle name="Millares 147 4" xfId="2234"/>
    <cellStyle name="Millares 148" xfId="887"/>
    <cellStyle name="Millares 148 2" xfId="1586"/>
    <cellStyle name="Millares 148 2 2" xfId="3906"/>
    <cellStyle name="Millares 148 2 3" xfId="2431"/>
    <cellStyle name="Millares 148 3" xfId="3191"/>
    <cellStyle name="Millares 148 4" xfId="2230"/>
    <cellStyle name="Millares 149" xfId="884"/>
    <cellStyle name="Millares 149 2" xfId="1583"/>
    <cellStyle name="Millares 149 2 2" xfId="3903"/>
    <cellStyle name="Millares 149 2 3" xfId="2428"/>
    <cellStyle name="Millares 149 3" xfId="3188"/>
    <cellStyle name="Millares 149 4" xfId="2227"/>
    <cellStyle name="Millares 15" xfId="353"/>
    <cellStyle name="Millares 15 2" xfId="1203"/>
    <cellStyle name="Millares 15 2 2" xfId="3523"/>
    <cellStyle name="Millares 15 2 3" xfId="2299"/>
    <cellStyle name="Millares 15 3" xfId="2808"/>
    <cellStyle name="Millares 15 4" xfId="2098"/>
    <cellStyle name="Millares 15 5" xfId="505"/>
    <cellStyle name="Millares 150" xfId="905"/>
    <cellStyle name="Millares 150 2" xfId="1604"/>
    <cellStyle name="Millares 150 2 2" xfId="3924"/>
    <cellStyle name="Millares 150 2 3" xfId="2436"/>
    <cellStyle name="Millares 150 3" xfId="3209"/>
    <cellStyle name="Millares 150 4" xfId="2235"/>
    <cellStyle name="Millares 151" xfId="907"/>
    <cellStyle name="Millares 151 2" xfId="1606"/>
    <cellStyle name="Millares 151 2 2" xfId="3926"/>
    <cellStyle name="Millares 151 2 3" xfId="2438"/>
    <cellStyle name="Millares 151 3" xfId="3211"/>
    <cellStyle name="Millares 151 4" xfId="2237"/>
    <cellStyle name="Millares 152" xfId="908"/>
    <cellStyle name="Millares 152 2" xfId="1607"/>
    <cellStyle name="Millares 152 2 2" xfId="3927"/>
    <cellStyle name="Millares 152 2 3" xfId="2439"/>
    <cellStyle name="Millares 152 3" xfId="3212"/>
    <cellStyle name="Millares 152 4" xfId="2238"/>
    <cellStyle name="Millares 153" xfId="912"/>
    <cellStyle name="Millares 153 2" xfId="1611"/>
    <cellStyle name="Millares 153 2 2" xfId="3931"/>
    <cellStyle name="Millares 153 2 3" xfId="2442"/>
    <cellStyle name="Millares 153 3" xfId="3216"/>
    <cellStyle name="Millares 153 4" xfId="2241"/>
    <cellStyle name="Millares 154" xfId="913"/>
    <cellStyle name="Millares 154 2" xfId="1612"/>
    <cellStyle name="Millares 154 2 2" xfId="3932"/>
    <cellStyle name="Millares 154 2 3" xfId="2443"/>
    <cellStyle name="Millares 154 3" xfId="3217"/>
    <cellStyle name="Millares 154 4" xfId="2242"/>
    <cellStyle name="Millares 155" xfId="927"/>
    <cellStyle name="Millares 155 2" xfId="1626"/>
    <cellStyle name="Millares 155 2 2" xfId="3946"/>
    <cellStyle name="Millares 155 2 3" xfId="2445"/>
    <cellStyle name="Millares 155 3" xfId="3231"/>
    <cellStyle name="Millares 155 4" xfId="2244"/>
    <cellStyle name="Millares 156" xfId="910"/>
    <cellStyle name="Millares 156 2" xfId="1609"/>
    <cellStyle name="Millares 156 2 2" xfId="3929"/>
    <cellStyle name="Millares 156 2 3" xfId="2441"/>
    <cellStyle name="Millares 156 3" xfId="3214"/>
    <cellStyle name="Millares 156 4" xfId="2240"/>
    <cellStyle name="Millares 157" xfId="909"/>
    <cellStyle name="Millares 157 2" xfId="1608"/>
    <cellStyle name="Millares 157 2 2" xfId="3928"/>
    <cellStyle name="Millares 157 2 3" xfId="2440"/>
    <cellStyle name="Millares 157 3" xfId="3213"/>
    <cellStyle name="Millares 157 4" xfId="2239"/>
    <cellStyle name="Millares 158" xfId="906"/>
    <cellStyle name="Millares 158 2" xfId="1605"/>
    <cellStyle name="Millares 158 2 2" xfId="3925"/>
    <cellStyle name="Millares 158 2 3" xfId="2437"/>
    <cellStyle name="Millares 158 3" xfId="3210"/>
    <cellStyle name="Millares 158 4" xfId="2236"/>
    <cellStyle name="Millares 159" xfId="916"/>
    <cellStyle name="Millares 159 2" xfId="1615"/>
    <cellStyle name="Millares 159 2 2" xfId="3935"/>
    <cellStyle name="Millares 159 2 3" xfId="2444"/>
    <cellStyle name="Millares 159 3" xfId="3220"/>
    <cellStyle name="Millares 159 4" xfId="2243"/>
    <cellStyle name="Millares 16" xfId="417"/>
    <cellStyle name="Millares 16 2" xfId="1190"/>
    <cellStyle name="Millares 16 2 2" xfId="3510"/>
    <cellStyle name="Millares 16 2 3" xfId="2295"/>
    <cellStyle name="Millares 16 3" xfId="2795"/>
    <cellStyle name="Millares 16 4" xfId="2094"/>
    <cellStyle name="Millares 16 5" xfId="492"/>
    <cellStyle name="Millares 160" xfId="928"/>
    <cellStyle name="Millares 160 2" xfId="1627"/>
    <cellStyle name="Millares 160 2 2" xfId="3947"/>
    <cellStyle name="Millares 160 2 3" xfId="2446"/>
    <cellStyle name="Millares 160 3" xfId="3232"/>
    <cellStyle name="Millares 160 4" xfId="2245"/>
    <cellStyle name="Millares 161" xfId="942"/>
    <cellStyle name="Millares 161 2" xfId="1641"/>
    <cellStyle name="Millares 161 2 2" xfId="3961"/>
    <cellStyle name="Millares 161 2 3" xfId="2447"/>
    <cellStyle name="Millares 161 3" xfId="3246"/>
    <cellStyle name="Millares 161 4" xfId="2246"/>
    <cellStyle name="Millares 162" xfId="943"/>
    <cellStyle name="Millares 162 2" xfId="1642"/>
    <cellStyle name="Millares 162 2 2" xfId="3962"/>
    <cellStyle name="Millares 162 2 3" xfId="2448"/>
    <cellStyle name="Millares 162 3" xfId="3247"/>
    <cellStyle name="Millares 162 4" xfId="2247"/>
    <cellStyle name="Millares 163" xfId="947"/>
    <cellStyle name="Millares 163 2" xfId="1646"/>
    <cellStyle name="Millares 163 2 2" xfId="3966"/>
    <cellStyle name="Millares 163 2 3" xfId="2451"/>
    <cellStyle name="Millares 163 3" xfId="3251"/>
    <cellStyle name="Millares 163 4" xfId="2250"/>
    <cellStyle name="Millares 164" xfId="948"/>
    <cellStyle name="Millares 164 2" xfId="1647"/>
    <cellStyle name="Millares 164 2 2" xfId="3967"/>
    <cellStyle name="Millares 164 2 3" xfId="2452"/>
    <cellStyle name="Millares 164 3" xfId="3252"/>
    <cellStyle name="Millares 164 4" xfId="2251"/>
    <cellStyle name="Millares 165" xfId="961"/>
    <cellStyle name="Millares 165 2" xfId="1660"/>
    <cellStyle name="Millares 165 2 2" xfId="3980"/>
    <cellStyle name="Millares 165 2 3" xfId="2453"/>
    <cellStyle name="Millares 165 3" xfId="3265"/>
    <cellStyle name="Millares 165 4" xfId="2252"/>
    <cellStyle name="Millares 166" xfId="945"/>
    <cellStyle name="Millares 166 2" xfId="1644"/>
    <cellStyle name="Millares 166 2 2" xfId="3964"/>
    <cellStyle name="Millares 166 2 3" xfId="2450"/>
    <cellStyle name="Millares 166 3" xfId="3249"/>
    <cellStyle name="Millares 166 4" xfId="2249"/>
    <cellStyle name="Millares 167" xfId="944"/>
    <cellStyle name="Millares 167 2" xfId="1643"/>
    <cellStyle name="Millares 167 2 2" xfId="3963"/>
    <cellStyle name="Millares 167 2 3" xfId="2449"/>
    <cellStyle name="Millares 167 3" xfId="3248"/>
    <cellStyle name="Millares 167 4" xfId="2248"/>
    <cellStyle name="Millares 168" xfId="962"/>
    <cellStyle name="Millares 168 2" xfId="1662"/>
    <cellStyle name="Millares 168 2 2" xfId="3982"/>
    <cellStyle name="Millares 168 3" xfId="3266"/>
    <cellStyle name="Millares 169" xfId="963"/>
    <cellStyle name="Millares 169 2" xfId="1663"/>
    <cellStyle name="Millares 169 2 2" xfId="3983"/>
    <cellStyle name="Millares 169 3" xfId="3267"/>
    <cellStyle name="Millares 17" xfId="422"/>
    <cellStyle name="Millares 17 2" xfId="1212"/>
    <cellStyle name="Millares 17 2 2" xfId="3532"/>
    <cellStyle name="Millares 17 2 3" xfId="2304"/>
    <cellStyle name="Millares 17 3" xfId="2817"/>
    <cellStyle name="Millares 17 4" xfId="2103"/>
    <cellStyle name="Millares 17 5" xfId="514"/>
    <cellStyle name="Millares 170" xfId="964"/>
    <cellStyle name="Millares 170 2" xfId="1664"/>
    <cellStyle name="Millares 170 2 2" xfId="3984"/>
    <cellStyle name="Millares 170 3" xfId="3268"/>
    <cellStyle name="Millares 171" xfId="965"/>
    <cellStyle name="Millares 171 2" xfId="1665"/>
    <cellStyle name="Millares 171 2 2" xfId="3985"/>
    <cellStyle name="Millares 171 3" xfId="3269"/>
    <cellStyle name="Millares 172" xfId="966"/>
    <cellStyle name="Millares 172 2" xfId="1666"/>
    <cellStyle name="Millares 172 2 2" xfId="3986"/>
    <cellStyle name="Millares 172 2 3" xfId="2454"/>
    <cellStyle name="Millares 172 3" xfId="3270"/>
    <cellStyle name="Millares 172 4" xfId="2253"/>
    <cellStyle name="Millares 173" xfId="980"/>
    <cellStyle name="Millares 173 2" xfId="1680"/>
    <cellStyle name="Millares 173 2 2" xfId="4001"/>
    <cellStyle name="Millares 173 2 3" xfId="2455"/>
    <cellStyle name="Millares 173 3" xfId="3285"/>
    <cellStyle name="Millares 173 4" xfId="2254"/>
    <cellStyle name="Millares 174" xfId="981"/>
    <cellStyle name="Millares 174 2" xfId="1681"/>
    <cellStyle name="Millares 174 2 2" xfId="4002"/>
    <cellStyle name="Millares 174 2 3" xfId="2456"/>
    <cellStyle name="Millares 174 3" xfId="3287"/>
    <cellStyle name="Millares 174 4" xfId="2255"/>
    <cellStyle name="Millares 175" xfId="982"/>
    <cellStyle name="Millares 175 2" xfId="1682"/>
    <cellStyle name="Millares 175 2 2" xfId="4003"/>
    <cellStyle name="Millares 175 2 3" xfId="2457"/>
    <cellStyle name="Millares 175 3" xfId="3288"/>
    <cellStyle name="Millares 175 4" xfId="2256"/>
    <cellStyle name="Millares 176" xfId="985"/>
    <cellStyle name="Millares 176 2" xfId="1685"/>
    <cellStyle name="Millares 176 2 2" xfId="4006"/>
    <cellStyle name="Millares 176 2 3" xfId="2459"/>
    <cellStyle name="Millares 176 3" xfId="3291"/>
    <cellStyle name="Millares 176 4" xfId="2258"/>
    <cellStyle name="Millares 177" xfId="986"/>
    <cellStyle name="Millares 177 2" xfId="1686"/>
    <cellStyle name="Millares 177 2 2" xfId="4007"/>
    <cellStyle name="Millares 177 2 3" xfId="2460"/>
    <cellStyle name="Millares 177 3" xfId="3292"/>
    <cellStyle name="Millares 177 4" xfId="2259"/>
    <cellStyle name="Millares 178" xfId="999"/>
    <cellStyle name="Millares 178 2" xfId="1699"/>
    <cellStyle name="Millares 178 2 2" xfId="4020"/>
    <cellStyle name="Millares 178 2 3" xfId="2461"/>
    <cellStyle name="Millares 178 3" xfId="3305"/>
    <cellStyle name="Millares 178 4" xfId="2260"/>
    <cellStyle name="Millares 179" xfId="983"/>
    <cellStyle name="Millares 179 2" xfId="1683"/>
    <cellStyle name="Millares 179 2 2" xfId="4004"/>
    <cellStyle name="Millares 179 2 3" xfId="2458"/>
    <cellStyle name="Millares 179 3" xfId="3289"/>
    <cellStyle name="Millares 179 4" xfId="2257"/>
    <cellStyle name="Millares 18" xfId="421"/>
    <cellStyle name="Millares 18 2" xfId="1213"/>
    <cellStyle name="Millares 18 2 2" xfId="3533"/>
    <cellStyle name="Millares 18 2 3" xfId="2305"/>
    <cellStyle name="Millares 18 3" xfId="2818"/>
    <cellStyle name="Millares 18 4" xfId="2104"/>
    <cellStyle name="Millares 18 5" xfId="515"/>
    <cellStyle name="Millares 180" xfId="1000"/>
    <cellStyle name="Millares 180 2" xfId="1700"/>
    <cellStyle name="Millares 180 2 2" xfId="4021"/>
    <cellStyle name="Millares 180 2 3" xfId="2462"/>
    <cellStyle name="Millares 180 3" xfId="3306"/>
    <cellStyle name="Millares 180 4" xfId="2261"/>
    <cellStyle name="Millares 181" xfId="1001"/>
    <cellStyle name="Millares 181 2" xfId="1701"/>
    <cellStyle name="Millares 181 2 2" xfId="4022"/>
    <cellStyle name="Millares 181 2 3" xfId="2463"/>
    <cellStyle name="Millares 181 3" xfId="3307"/>
    <cellStyle name="Millares 181 4" xfId="2262"/>
    <cellStyle name="Millares 182" xfId="1003"/>
    <cellStyle name="Millares 182 2" xfId="1703"/>
    <cellStyle name="Millares 182 2 2" xfId="4024"/>
    <cellStyle name="Millares 182 2 3" xfId="2464"/>
    <cellStyle name="Millares 182 3" xfId="3309"/>
    <cellStyle name="Millares 182 4" xfId="2263"/>
    <cellStyle name="Millares 183" xfId="1004"/>
    <cellStyle name="Millares 183 2" xfId="1704"/>
    <cellStyle name="Millares 183 2 2" xfId="4025"/>
    <cellStyle name="Millares 183 2 3" xfId="2465"/>
    <cellStyle name="Millares 183 3" xfId="3310"/>
    <cellStyle name="Millares 183 4" xfId="2264"/>
    <cellStyle name="Millares 184" xfId="1018"/>
    <cellStyle name="Millares 184 2" xfId="1718"/>
    <cellStyle name="Millares 184 2 2" xfId="4039"/>
    <cellStyle name="Millares 184 2 3" xfId="2467"/>
    <cellStyle name="Millares 184 3" xfId="3324"/>
    <cellStyle name="Millares 184 4" xfId="2266"/>
    <cellStyle name="Millares 185" xfId="1019"/>
    <cellStyle name="Millares 185 2" xfId="1719"/>
    <cellStyle name="Millares 185 2 2" xfId="4040"/>
    <cellStyle name="Millares 185 2 3" xfId="2468"/>
    <cellStyle name="Millares 185 3" xfId="3325"/>
    <cellStyle name="Millares 185 4" xfId="2267"/>
    <cellStyle name="Millares 186" xfId="1023"/>
    <cellStyle name="Millares 186 2" xfId="1723"/>
    <cellStyle name="Millares 186 2 2" xfId="4044"/>
    <cellStyle name="Millares 186 2 3" xfId="2471"/>
    <cellStyle name="Millares 186 3" xfId="3329"/>
    <cellStyle name="Millares 186 4" xfId="2270"/>
    <cellStyle name="Millares 187" xfId="1024"/>
    <cellStyle name="Millares 187 2" xfId="1724"/>
    <cellStyle name="Millares 187 2 2" xfId="4045"/>
    <cellStyle name="Millares 187 2 3" xfId="2472"/>
    <cellStyle name="Millares 187 3" xfId="3330"/>
    <cellStyle name="Millares 187 4" xfId="2271"/>
    <cellStyle name="Millares 188" xfId="1039"/>
    <cellStyle name="Millares 188 2" xfId="1739"/>
    <cellStyle name="Millares 188 2 2" xfId="4060"/>
    <cellStyle name="Millares 188 2 3" xfId="2475"/>
    <cellStyle name="Millares 188 3" xfId="3345"/>
    <cellStyle name="Millares 188 4" xfId="2274"/>
    <cellStyle name="Millares 189" xfId="1021"/>
    <cellStyle name="Millares 189 2" xfId="1721"/>
    <cellStyle name="Millares 189 2 2" xfId="4042"/>
    <cellStyle name="Millares 189 2 3" xfId="2470"/>
    <cellStyle name="Millares 189 3" xfId="3327"/>
    <cellStyle name="Millares 189 4" xfId="2269"/>
    <cellStyle name="Millares 19" xfId="408"/>
    <cellStyle name="Millares 19 2" xfId="1219"/>
    <cellStyle name="Millares 19 2 2" xfId="3539"/>
    <cellStyle name="Millares 19 2 3" xfId="2310"/>
    <cellStyle name="Millares 19 3" xfId="2824"/>
    <cellStyle name="Millares 19 4" xfId="2109"/>
    <cellStyle name="Millares 190" xfId="1020"/>
    <cellStyle name="Millares 190 2" xfId="1720"/>
    <cellStyle name="Millares 190 2 2" xfId="4041"/>
    <cellStyle name="Millares 190 2 3" xfId="2469"/>
    <cellStyle name="Millares 190 3" xfId="3326"/>
    <cellStyle name="Millares 190 4" xfId="2268"/>
    <cellStyle name="Millares 191" xfId="1017"/>
    <cellStyle name="Millares 191 2" xfId="1717"/>
    <cellStyle name="Millares 191 2 2" xfId="4038"/>
    <cellStyle name="Millares 191 2 3" xfId="2466"/>
    <cellStyle name="Millares 191 3" xfId="3323"/>
    <cellStyle name="Millares 191 4" xfId="2265"/>
    <cellStyle name="Millares 192" xfId="1027"/>
    <cellStyle name="Millares 192 2" xfId="1727"/>
    <cellStyle name="Millares 192 2 2" xfId="4048"/>
    <cellStyle name="Millares 192 2 3" xfId="2473"/>
    <cellStyle name="Millares 192 3" xfId="3333"/>
    <cellStyle name="Millares 192 4" xfId="2272"/>
    <cellStyle name="Millares 193" xfId="1030"/>
    <cellStyle name="Millares 193 2" xfId="1730"/>
    <cellStyle name="Millares 193 2 2" xfId="4051"/>
    <cellStyle name="Millares 193 2 3" xfId="2474"/>
    <cellStyle name="Millares 193 3" xfId="3336"/>
    <cellStyle name="Millares 193 4" xfId="2273"/>
    <cellStyle name="Millares 194" xfId="1040"/>
    <cellStyle name="Millares 194 2" xfId="1740"/>
    <cellStyle name="Millares 194 2 2" xfId="4061"/>
    <cellStyle name="Millares 194 2 3" xfId="2476"/>
    <cellStyle name="Millares 194 3" xfId="3346"/>
    <cellStyle name="Millares 194 4" xfId="2275"/>
    <cellStyle name="Millares 195" xfId="1041"/>
    <cellStyle name="Millares 195 2" xfId="1741"/>
    <cellStyle name="Millares 195 2 2" xfId="4062"/>
    <cellStyle name="Millares 195 2 3" xfId="2477"/>
    <cellStyle name="Millares 195 3" xfId="3347"/>
    <cellStyle name="Millares 195 4" xfId="2276"/>
    <cellStyle name="Millares 196" xfId="1043"/>
    <cellStyle name="Millares 196 2" xfId="1743"/>
    <cellStyle name="Millares 196 2 2" xfId="4064"/>
    <cellStyle name="Millares 196 2 3" xfId="2478"/>
    <cellStyle name="Millares 196 3" xfId="3349"/>
    <cellStyle name="Millares 196 4" xfId="2277"/>
    <cellStyle name="Millares 197" xfId="1044"/>
    <cellStyle name="Millares 197 2" xfId="1744"/>
    <cellStyle name="Millares 197 2 2" xfId="4065"/>
    <cellStyle name="Millares 197 2 3" xfId="2479"/>
    <cellStyle name="Millares 197 3" xfId="3350"/>
    <cellStyle name="Millares 197 4" xfId="2278"/>
    <cellStyle name="Millares 198" xfId="1057"/>
    <cellStyle name="Millares 198 2" xfId="1757"/>
    <cellStyle name="Millares 198 2 2" xfId="4078"/>
    <cellStyle name="Millares 198 2 3" xfId="2480"/>
    <cellStyle name="Millares 198 3" xfId="3363"/>
    <cellStyle name="Millares 198 4" xfId="2279"/>
    <cellStyle name="Millares 199" xfId="1059"/>
    <cellStyle name="Millares 199 2" xfId="3365"/>
    <cellStyle name="Millares 199 3" xfId="2281"/>
    <cellStyle name="Millares 2" xfId="47"/>
    <cellStyle name="Millares 2 2" xfId="121"/>
    <cellStyle name="Millares 2 2 2" xfId="213"/>
    <cellStyle name="Millares 2 2 2 2" xfId="214"/>
    <cellStyle name="Millares 2 2 2 3" xfId="329"/>
    <cellStyle name="Millares 2 2 2 4" xfId="354"/>
    <cellStyle name="Millares 2 2 2 5" xfId="2287"/>
    <cellStyle name="Millares 2 2 3" xfId="336"/>
    <cellStyle name="Millares 2 2 4" xfId="355"/>
    <cellStyle name="Millares 2 2 5" xfId="1078"/>
    <cellStyle name="Millares 2 3" xfId="215"/>
    <cellStyle name="Millares 2 3 2" xfId="2085"/>
    <cellStyle name="Millares 2 4" xfId="216"/>
    <cellStyle name="Millares 2 5" xfId="283"/>
    <cellStyle name="Millares 2 5 2" xfId="328"/>
    <cellStyle name="Millares 2 5 3" xfId="356"/>
    <cellStyle name="Millares 2 6" xfId="212"/>
    <cellStyle name="Millares 2 6 2" xfId="341"/>
    <cellStyle name="Millares 2 6 3" xfId="357"/>
    <cellStyle name="Millares 2 7" xfId="327"/>
    <cellStyle name="Millares 2 7 2" xfId="359"/>
    <cellStyle name="Millares 2 7 3" xfId="360"/>
    <cellStyle name="Millares 2 7 4" xfId="358"/>
    <cellStyle name="Millares 20" xfId="521"/>
    <cellStyle name="Millares 20 2" xfId="1220"/>
    <cellStyle name="Millares 20 2 2" xfId="3540"/>
    <cellStyle name="Millares 20 2 3" xfId="2311"/>
    <cellStyle name="Millares 20 3" xfId="2825"/>
    <cellStyle name="Millares 20 4" xfId="2110"/>
    <cellStyle name="Millares 200" xfId="1061"/>
    <cellStyle name="Millares 200 2" xfId="3367"/>
    <cellStyle name="Millares 200 3" xfId="2283"/>
    <cellStyle name="Millares 201" xfId="1063"/>
    <cellStyle name="Millares 201 2" xfId="3369"/>
    <cellStyle name="Millares 201 3" xfId="2284"/>
    <cellStyle name="Millares 202" xfId="1060"/>
    <cellStyle name="Millares 202 2" xfId="3366"/>
    <cellStyle name="Millares 202 3" xfId="2282"/>
    <cellStyle name="Millares 203" xfId="1058"/>
    <cellStyle name="Millares 203 2" xfId="3364"/>
    <cellStyle name="Millares 203 3" xfId="2280"/>
    <cellStyle name="Millares 204" xfId="1068"/>
    <cellStyle name="Millares 204 2" xfId="3374"/>
    <cellStyle name="Millares 204 3" xfId="2285"/>
    <cellStyle name="Millares 205" xfId="1187"/>
    <cellStyle name="Millares 205 2" xfId="2292"/>
    <cellStyle name="Millares 206" xfId="1077"/>
    <cellStyle name="Millares 206 2" xfId="3383"/>
    <cellStyle name="Millares 206 3" xfId="2286"/>
    <cellStyle name="Millares 207" xfId="1758"/>
    <cellStyle name="Millares 207 2" xfId="4079"/>
    <cellStyle name="Millares 207 3" xfId="2481"/>
    <cellStyle name="Millares 208" xfId="1759"/>
    <cellStyle name="Millares 208 2" xfId="4080"/>
    <cellStyle name="Millares 208 3" xfId="2482"/>
    <cellStyle name="Millares 209" xfId="1762"/>
    <cellStyle name="Millares 209 2" xfId="4083"/>
    <cellStyle name="Millares 209 3" xfId="2484"/>
    <cellStyle name="Millares 21" xfId="536"/>
    <cellStyle name="Millares 21 2" xfId="1235"/>
    <cellStyle name="Millares 21 2 2" xfId="3555"/>
    <cellStyle name="Millares 21 2 3" xfId="2314"/>
    <cellStyle name="Millares 21 3" xfId="2840"/>
    <cellStyle name="Millares 21 4" xfId="2113"/>
    <cellStyle name="Millares 210" xfId="1763"/>
    <cellStyle name="Millares 210 2" xfId="4084"/>
    <cellStyle name="Millares 210 3" xfId="2485"/>
    <cellStyle name="Millares 211" xfId="1776"/>
    <cellStyle name="Millares 211 2" xfId="4097"/>
    <cellStyle name="Millares 211 3" xfId="2486"/>
    <cellStyle name="Millares 212" xfId="1760"/>
    <cellStyle name="Millares 212 2" xfId="4081"/>
    <cellStyle name="Millares 212 3" xfId="2483"/>
    <cellStyle name="Millares 213" xfId="1778"/>
    <cellStyle name="Millares 213 2" xfId="4099"/>
    <cellStyle name="Millares 213 3" xfId="2488"/>
    <cellStyle name="Millares 214" xfId="1779"/>
    <cellStyle name="Millares 214 2" xfId="4100"/>
    <cellStyle name="Millares 214 3" xfId="2489"/>
    <cellStyle name="Millares 215" xfId="1783"/>
    <cellStyle name="Millares 215 2" xfId="4104"/>
    <cellStyle name="Millares 215 3" xfId="2492"/>
    <cellStyle name="Millares 216" xfId="1784"/>
    <cellStyle name="Millares 216 2" xfId="4105"/>
    <cellStyle name="Millares 216 3" xfId="2493"/>
    <cellStyle name="Millares 217" xfId="1797"/>
    <cellStyle name="Millares 217 2" xfId="4118"/>
    <cellStyle name="Millares 217 3" xfId="2494"/>
    <cellStyle name="Millares 218" xfId="1798"/>
    <cellStyle name="Millares 218 2" xfId="4119"/>
    <cellStyle name="Millares 218 3" xfId="2495"/>
    <cellStyle name="Millares 219" xfId="1777"/>
    <cellStyle name="Millares 219 2" xfId="4098"/>
    <cellStyle name="Millares 219 3" xfId="2487"/>
    <cellStyle name="Millares 22" xfId="519"/>
    <cellStyle name="Millares 22 2" xfId="1217"/>
    <cellStyle name="Millares 22 2 2" xfId="3537"/>
    <cellStyle name="Millares 22 2 3" xfId="2309"/>
    <cellStyle name="Millares 22 3" xfId="2822"/>
    <cellStyle name="Millares 22 4" xfId="2108"/>
    <cellStyle name="Millares 220" xfId="1780"/>
    <cellStyle name="Millares 220 2" xfId="4101"/>
    <cellStyle name="Millares 220 3" xfId="2490"/>
    <cellStyle name="Millares 221" xfId="1781"/>
    <cellStyle name="Millares 221 2" xfId="4102"/>
    <cellStyle name="Millares 221 3" xfId="2491"/>
    <cellStyle name="Millares 222" xfId="1799"/>
    <cellStyle name="Millares 222 2" xfId="4120"/>
    <cellStyle name="Millares 222 3" xfId="2496"/>
    <cellStyle name="Millares 223" xfId="1801"/>
    <cellStyle name="Millares 223 2" xfId="4122"/>
    <cellStyle name="Millares 223 3" xfId="2498"/>
    <cellStyle name="Millares 224" xfId="1802"/>
    <cellStyle name="Millares 224 2" xfId="4123"/>
    <cellStyle name="Millares 224 3" xfId="2499"/>
    <cellStyle name="Millares 225" xfId="1806"/>
    <cellStyle name="Millares 225 2" xfId="4127"/>
    <cellStyle name="Millares 225 3" xfId="2502"/>
    <cellStyle name="Millares 226" xfId="1807"/>
    <cellStyle name="Millares 226 2" xfId="4128"/>
    <cellStyle name="Millares 226 3" xfId="2503"/>
    <cellStyle name="Millares 227" xfId="1822"/>
    <cellStyle name="Millares 227 2" xfId="4143"/>
    <cellStyle name="Millares 227 3" xfId="2506"/>
    <cellStyle name="Millares 228" xfId="1804"/>
    <cellStyle name="Millares 228 2" xfId="4125"/>
    <cellStyle name="Millares 228 3" xfId="2501"/>
    <cellStyle name="Millares 229" xfId="1803"/>
    <cellStyle name="Millares 229 2" xfId="4124"/>
    <cellStyle name="Millares 229 3" xfId="2500"/>
    <cellStyle name="Millares 23" xfId="518"/>
    <cellStyle name="Millares 23 2" xfId="1216"/>
    <cellStyle name="Millares 23 2 2" xfId="3536"/>
    <cellStyle name="Millares 23 2 3" xfId="2308"/>
    <cellStyle name="Millares 23 3" xfId="2821"/>
    <cellStyle name="Millares 23 4" xfId="2107"/>
    <cellStyle name="Millares 230" xfId="1800"/>
    <cellStyle name="Millares 230 2" xfId="4121"/>
    <cellStyle name="Millares 230 3" xfId="2497"/>
    <cellStyle name="Millares 231" xfId="1810"/>
    <cellStyle name="Millares 231 2" xfId="4131"/>
    <cellStyle name="Millares 231 3" xfId="2504"/>
    <cellStyle name="Millares 232" xfId="1813"/>
    <cellStyle name="Millares 232 2" xfId="4134"/>
    <cellStyle name="Millares 232 3" xfId="2505"/>
    <cellStyle name="Millares 233" xfId="1836"/>
    <cellStyle name="Millares 233 2" xfId="4157"/>
    <cellStyle name="Millares 233 3" xfId="2507"/>
    <cellStyle name="Millares 234" xfId="1846"/>
    <cellStyle name="Millares 234 2" xfId="4167"/>
    <cellStyle name="Millares 234 3" xfId="2510"/>
    <cellStyle name="Millares 235" xfId="1838"/>
    <cellStyle name="Millares 235 2" xfId="4159"/>
    <cellStyle name="Millares 235 3" xfId="2509"/>
    <cellStyle name="Millares 236" xfId="1837"/>
    <cellStyle name="Millares 236 2" xfId="4158"/>
    <cellStyle name="Millares 236 3" xfId="2508"/>
    <cellStyle name="Millares 237" xfId="1853"/>
    <cellStyle name="Millares 237 2" xfId="4174"/>
    <cellStyle name="Millares 237 3" xfId="2511"/>
    <cellStyle name="Millares 238" xfId="1854"/>
    <cellStyle name="Millares 238 2" xfId="4175"/>
    <cellStyle name="Millares 238 3" xfId="2512"/>
    <cellStyle name="Millares 239" xfId="1858"/>
    <cellStyle name="Millares 239 2" xfId="4179"/>
    <cellStyle name="Millares 239 3" xfId="2515"/>
    <cellStyle name="Millares 24" xfId="513"/>
    <cellStyle name="Millares 24 2" xfId="1211"/>
    <cellStyle name="Millares 24 2 2" xfId="3531"/>
    <cellStyle name="Millares 24 2 3" xfId="2303"/>
    <cellStyle name="Millares 24 3" xfId="2816"/>
    <cellStyle name="Millares 24 4" xfId="2102"/>
    <cellStyle name="Millares 240" xfId="1859"/>
    <cellStyle name="Millares 240 2" xfId="4180"/>
    <cellStyle name="Millares 240 3" xfId="2516"/>
    <cellStyle name="Millares 241" xfId="1872"/>
    <cellStyle name="Millares 241 2" xfId="4193"/>
    <cellStyle name="Millares 241 3" xfId="2517"/>
    <cellStyle name="Millares 242" xfId="1856"/>
    <cellStyle name="Millares 242 2" xfId="4177"/>
    <cellStyle name="Millares 242 3" xfId="2514"/>
    <cellStyle name="Millares 243" xfId="1855"/>
    <cellStyle name="Millares 243 2" xfId="4176"/>
    <cellStyle name="Millares 243 3" xfId="2513"/>
    <cellStyle name="Millares 244" xfId="1874"/>
    <cellStyle name="Millares 244 2" xfId="4195"/>
    <cellStyle name="Millares 244 3" xfId="2519"/>
    <cellStyle name="Millares 245" xfId="1875"/>
    <cellStyle name="Millares 245 2" xfId="4196"/>
    <cellStyle name="Millares 245 3" xfId="2520"/>
    <cellStyle name="Millares 246" xfId="1879"/>
    <cellStyle name="Millares 246 2" xfId="4200"/>
    <cellStyle name="Millares 246 3" xfId="2523"/>
    <cellStyle name="Millares 247" xfId="1880"/>
    <cellStyle name="Millares 247 2" xfId="4201"/>
    <cellStyle name="Millares 247 3" xfId="2524"/>
    <cellStyle name="Millares 248" xfId="1894"/>
    <cellStyle name="Millares 248 2" xfId="4215"/>
    <cellStyle name="Millares 248 3" xfId="2526"/>
    <cellStyle name="Millares 249" xfId="1877"/>
    <cellStyle name="Millares 249 2" xfId="4198"/>
    <cellStyle name="Millares 249 3" xfId="2522"/>
    <cellStyle name="Millares 25" xfId="529"/>
    <cellStyle name="Millares 25 2" xfId="1228"/>
    <cellStyle name="Millares 25 2 2" xfId="3548"/>
    <cellStyle name="Millares 25 2 3" xfId="2313"/>
    <cellStyle name="Millares 25 3" xfId="2833"/>
    <cellStyle name="Millares 25 4" xfId="2112"/>
    <cellStyle name="Millares 250" xfId="1876"/>
    <cellStyle name="Millares 250 2" xfId="4197"/>
    <cellStyle name="Millares 250 3" xfId="2521"/>
    <cellStyle name="Millares 251" xfId="1873"/>
    <cellStyle name="Millares 251 2" xfId="4194"/>
    <cellStyle name="Millares 251 3" xfId="2518"/>
    <cellStyle name="Millares 252" xfId="1883"/>
    <cellStyle name="Millares 252 2" xfId="4204"/>
    <cellStyle name="Millares 252 3" xfId="2525"/>
    <cellStyle name="Millares 253" xfId="1895"/>
    <cellStyle name="Millares 253 2" xfId="4216"/>
    <cellStyle name="Millares 253 3" xfId="2527"/>
    <cellStyle name="Millares 254" xfId="1897"/>
    <cellStyle name="Millares 254 2" xfId="4218"/>
    <cellStyle name="Millares 254 3" xfId="2529"/>
    <cellStyle name="Millares 255" xfId="1896"/>
    <cellStyle name="Millares 255 2" xfId="4217"/>
    <cellStyle name="Millares 255 3" xfId="2528"/>
    <cellStyle name="Millares 256" xfId="1924"/>
    <cellStyle name="Millares 256 2" xfId="4245"/>
    <cellStyle name="Millares 256 3" xfId="2530"/>
    <cellStyle name="Millares 257" xfId="1925"/>
    <cellStyle name="Millares 257 2" xfId="4246"/>
    <cellStyle name="Millares 257 3" xfId="2531"/>
    <cellStyle name="Millares 258" xfId="1940"/>
    <cellStyle name="Millares 258 2" xfId="4261"/>
    <cellStyle name="Millares 258 3" xfId="2533"/>
    <cellStyle name="Millares 259" xfId="1941"/>
    <cellStyle name="Millares 259 2" xfId="4262"/>
    <cellStyle name="Millares 259 3" xfId="2534"/>
    <cellStyle name="Millares 26" xfId="517"/>
    <cellStyle name="Millares 26 2" xfId="1215"/>
    <cellStyle name="Millares 26 2 2" xfId="3535"/>
    <cellStyle name="Millares 26 2 3" xfId="2307"/>
    <cellStyle name="Millares 26 3" xfId="2820"/>
    <cellStyle name="Millares 26 4" xfId="2106"/>
    <cellStyle name="Millares 260" xfId="1945"/>
    <cellStyle name="Millares 260 2" xfId="4266"/>
    <cellStyle name="Millares 260 3" xfId="2537"/>
    <cellStyle name="Millares 261" xfId="1946"/>
    <cellStyle name="Millares 261 2" xfId="4267"/>
    <cellStyle name="Millares 261 3" xfId="2538"/>
    <cellStyle name="Millares 262" xfId="1961"/>
    <cellStyle name="Millares 262 2" xfId="4282"/>
    <cellStyle name="Millares 262 3" xfId="2541"/>
    <cellStyle name="Millares 263" xfId="1943"/>
    <cellStyle name="Millares 263 2" xfId="4264"/>
    <cellStyle name="Millares 263 3" xfId="2536"/>
    <cellStyle name="Millares 264" xfId="1942"/>
    <cellStyle name="Millares 264 2" xfId="4263"/>
    <cellStyle name="Millares 264 3" xfId="2535"/>
    <cellStyle name="Millares 265" xfId="1939"/>
    <cellStyle name="Millares 265 2" xfId="4260"/>
    <cellStyle name="Millares 265 3" xfId="2532"/>
    <cellStyle name="Millares 266" xfId="1949"/>
    <cellStyle name="Millares 266 2" xfId="4270"/>
    <cellStyle name="Millares 266 3" xfId="2539"/>
    <cellStyle name="Millares 267" xfId="1952"/>
    <cellStyle name="Millares 267 2" xfId="4273"/>
    <cellStyle name="Millares 267 3" xfId="2540"/>
    <cellStyle name="Millares 268" xfId="1962"/>
    <cellStyle name="Millares 268 2" xfId="4283"/>
    <cellStyle name="Millares 268 3" xfId="2542"/>
    <cellStyle name="Millares 269" xfId="1964"/>
    <cellStyle name="Millares 269 2" xfId="4285"/>
    <cellStyle name="Millares 269 3" xfId="2544"/>
    <cellStyle name="Millares 27" xfId="539"/>
    <cellStyle name="Millares 27 2" xfId="1238"/>
    <cellStyle name="Millares 27 2 2" xfId="3558"/>
    <cellStyle name="Millares 27 2 3" xfId="2317"/>
    <cellStyle name="Millares 27 3" xfId="2843"/>
    <cellStyle name="Millares 27 4" xfId="2116"/>
    <cellStyle name="Millares 270" xfId="1966"/>
    <cellStyle name="Millares 270 2" xfId="4287"/>
    <cellStyle name="Millares 270 3" xfId="2546"/>
    <cellStyle name="Millares 271" xfId="1970"/>
    <cellStyle name="Millares 271 2" xfId="4291"/>
    <cellStyle name="Millares 271 3" xfId="2549"/>
    <cellStyle name="Millares 272" xfId="1971"/>
    <cellStyle name="Millares 272 2" xfId="4292"/>
    <cellStyle name="Millares 272 3" xfId="2550"/>
    <cellStyle name="Millares 273" xfId="1965"/>
    <cellStyle name="Millares 273 2" xfId="4286"/>
    <cellStyle name="Millares 273 3" xfId="2545"/>
    <cellStyle name="Millares 274" xfId="1990"/>
    <cellStyle name="Millares 274 2" xfId="4311"/>
    <cellStyle name="Millares 274 3" xfId="2557"/>
    <cellStyle name="Millares 275" xfId="1974"/>
    <cellStyle name="Millares 275 2" xfId="4295"/>
    <cellStyle name="Millares 275 3" xfId="2551"/>
    <cellStyle name="Millares 276" xfId="1992"/>
    <cellStyle name="Millares 276 2" xfId="4313"/>
    <cellStyle name="Millares 276 3" xfId="2559"/>
    <cellStyle name="Millares 277" xfId="1967"/>
    <cellStyle name="Millares 277 2" xfId="4288"/>
    <cellStyle name="Millares 277 3" xfId="2547"/>
    <cellStyle name="Millares 278" xfId="1980"/>
    <cellStyle name="Millares 278 2" xfId="4301"/>
    <cellStyle name="Millares 278 3" xfId="2553"/>
    <cellStyle name="Millares 279" xfId="1977"/>
    <cellStyle name="Millares 279 2" xfId="4298"/>
    <cellStyle name="Millares 279 3" xfId="2552"/>
    <cellStyle name="Millares 28" xfId="542"/>
    <cellStyle name="Millares 28 2" xfId="1241"/>
    <cellStyle name="Millares 28 2 2" xfId="3561"/>
    <cellStyle name="Millares 28 2 3" xfId="2320"/>
    <cellStyle name="Millares 28 3" xfId="2846"/>
    <cellStyle name="Millares 28 4" xfId="2119"/>
    <cellStyle name="Millares 280" xfId="1991"/>
    <cellStyle name="Millares 280 2" xfId="4312"/>
    <cellStyle name="Millares 280 3" xfId="2558"/>
    <cellStyle name="Millares 281" xfId="1983"/>
    <cellStyle name="Millares 281 2" xfId="4304"/>
    <cellStyle name="Millares 281 3" xfId="2554"/>
    <cellStyle name="Millares 282" xfId="1987"/>
    <cellStyle name="Millares 282 2" xfId="4308"/>
    <cellStyle name="Millares 282 3" xfId="2556"/>
    <cellStyle name="Millares 283" xfId="1996"/>
    <cellStyle name="Millares 283 2" xfId="4317"/>
    <cellStyle name="Millares 283 3" xfId="2563"/>
    <cellStyle name="Millares 284" xfId="1963"/>
    <cellStyle name="Millares 284 2" xfId="4284"/>
    <cellStyle name="Millares 284 3" xfId="2543"/>
    <cellStyle name="Millares 285" xfId="1994"/>
    <cellStyle name="Millares 285 2" xfId="4315"/>
    <cellStyle name="Millares 285 3" xfId="2561"/>
    <cellStyle name="Millares 286" xfId="1995"/>
    <cellStyle name="Millares 286 2" xfId="4316"/>
    <cellStyle name="Millares 286 3" xfId="2562"/>
    <cellStyle name="Millares 287" xfId="1993"/>
    <cellStyle name="Millares 287 2" xfId="4314"/>
    <cellStyle name="Millares 287 3" xfId="2560"/>
    <cellStyle name="Millares 288" xfId="1968"/>
    <cellStyle name="Millares 288 2" xfId="4289"/>
    <cellStyle name="Millares 288 3" xfId="2548"/>
    <cellStyle name="Millares 289" xfId="1986"/>
    <cellStyle name="Millares 289 2" xfId="4307"/>
    <cellStyle name="Millares 289 3" xfId="2555"/>
    <cellStyle name="Millares 29" xfId="528"/>
    <cellStyle name="Millares 29 2" xfId="1227"/>
    <cellStyle name="Millares 29 2 2" xfId="3547"/>
    <cellStyle name="Millares 29 2 3" xfId="2312"/>
    <cellStyle name="Millares 29 3" xfId="2832"/>
    <cellStyle name="Millares 29 4" xfId="2111"/>
    <cellStyle name="Millares 290" xfId="2010"/>
    <cellStyle name="Millares 290 2" xfId="4331"/>
    <cellStyle name="Millares 290 3" xfId="2564"/>
    <cellStyle name="Millares 291" xfId="2011"/>
    <cellStyle name="Millares 291 2" xfId="4332"/>
    <cellStyle name="Millares 291 3" xfId="2565"/>
    <cellStyle name="Millares 292" xfId="2013"/>
    <cellStyle name="Millares 292 2" xfId="4334"/>
    <cellStyle name="Millares 292 3" xfId="2566"/>
    <cellStyle name="Millares 293" xfId="2026"/>
    <cellStyle name="Millares 293 2" xfId="4347"/>
    <cellStyle name="Millares 293 3" xfId="2567"/>
    <cellStyle name="Millares 294" xfId="2040"/>
    <cellStyle name="Millares 294 2" xfId="4361"/>
    <cellStyle name="Millares 294 3" xfId="2569"/>
    <cellStyle name="Millares 295" xfId="2042"/>
    <cellStyle name="Millares 295 2" xfId="4363"/>
    <cellStyle name="Millares 295 3" xfId="2571"/>
    <cellStyle name="Millares 296" xfId="2045"/>
    <cellStyle name="Millares 296 2" xfId="4366"/>
    <cellStyle name="Millares 296 3" xfId="2573"/>
    <cellStyle name="Millares 297" xfId="2041"/>
    <cellStyle name="Millares 297 2" xfId="4362"/>
    <cellStyle name="Millares 297 3" xfId="2570"/>
    <cellStyle name="Millares 298" xfId="2059"/>
    <cellStyle name="Millares 298 2" xfId="4380"/>
    <cellStyle name="Millares 298 3" xfId="2575"/>
    <cellStyle name="Millares 299" xfId="2043"/>
    <cellStyle name="Millares 299 2" xfId="4364"/>
    <cellStyle name="Millares 299 3" xfId="2572"/>
    <cellStyle name="Millares 3" xfId="49"/>
    <cellStyle name="Millares 3 2" xfId="81"/>
    <cellStyle name="Millares 3 2 2" xfId="3491"/>
    <cellStyle name="Millares 3 2 3" xfId="2288"/>
    <cellStyle name="Millares 3 2 4" xfId="1172"/>
    <cellStyle name="Millares 3 3" xfId="217"/>
    <cellStyle name="Millares 3 3 2" xfId="362"/>
    <cellStyle name="Millares 3 3 3" xfId="363"/>
    <cellStyle name="Millares 3 3 4" xfId="361"/>
    <cellStyle name="Millares 3 3 5" xfId="2775"/>
    <cellStyle name="Millares 3 4" xfId="419"/>
    <cellStyle name="Millares 3 4 2" xfId="2087"/>
    <cellStyle name="Millares 30" xfId="538"/>
    <cellStyle name="Millares 30 2" xfId="1237"/>
    <cellStyle name="Millares 30 2 2" xfId="3557"/>
    <cellStyle name="Millares 30 2 3" xfId="2316"/>
    <cellStyle name="Millares 30 3" xfId="2842"/>
    <cellStyle name="Millares 30 4" xfId="2115"/>
    <cellStyle name="Millares 300" xfId="2063"/>
    <cellStyle name="Millares 300 2" xfId="4384"/>
    <cellStyle name="Millares 300 3" xfId="2579"/>
    <cellStyle name="Millares 301" xfId="2061"/>
    <cellStyle name="Millares 301 2" xfId="4382"/>
    <cellStyle name="Millares 301 3" xfId="2577"/>
    <cellStyle name="Millares 302" xfId="2064"/>
    <cellStyle name="Millares 302 2" xfId="4385"/>
    <cellStyle name="Millares 302 3" xfId="2580"/>
    <cellStyle name="Millares 303" xfId="2060"/>
    <cellStyle name="Millares 303 2" xfId="4381"/>
    <cellStyle name="Millares 303 3" xfId="2576"/>
    <cellStyle name="Millares 304" xfId="2062"/>
    <cellStyle name="Millares 304 2" xfId="4383"/>
    <cellStyle name="Millares 304 3" xfId="2578"/>
    <cellStyle name="Millares 305" xfId="2048"/>
    <cellStyle name="Millares 305 2" xfId="4369"/>
    <cellStyle name="Millares 305 3" xfId="2574"/>
    <cellStyle name="Millares 306" xfId="2065"/>
    <cellStyle name="Millares 306 2" xfId="4386"/>
    <cellStyle name="Millares 306 3" xfId="2581"/>
    <cellStyle name="Millares 307" xfId="2079"/>
    <cellStyle name="Millares 307 2" xfId="4400"/>
    <cellStyle name="Millares 307 3" xfId="2582"/>
    <cellStyle name="Millares 308" xfId="2080"/>
    <cellStyle name="Millares 308 2" xfId="4401"/>
    <cellStyle name="Millares 308 3" xfId="2583"/>
    <cellStyle name="Millares 309" xfId="2083"/>
    <cellStyle name="Millares 309 2" xfId="4404"/>
    <cellStyle name="Millares 309 3" xfId="2586"/>
    <cellStyle name="Millares 31" xfId="537"/>
    <cellStyle name="Millares 31 2" xfId="1236"/>
    <cellStyle name="Millares 31 2 2" xfId="3556"/>
    <cellStyle name="Millares 31 2 3" xfId="2315"/>
    <cellStyle name="Millares 31 3" xfId="2841"/>
    <cellStyle name="Millares 31 4" xfId="2114"/>
    <cellStyle name="Millares 310" xfId="2084"/>
    <cellStyle name="Millares 310 2" xfId="4405"/>
    <cellStyle name="Millares 310 3" xfId="2587"/>
    <cellStyle name="Millares 311" xfId="2081"/>
    <cellStyle name="Millares 311 2" xfId="4402"/>
    <cellStyle name="Millares 311 3" xfId="2584"/>
    <cellStyle name="Millares 312" xfId="2082"/>
    <cellStyle name="Millares 312 2" xfId="4403"/>
    <cellStyle name="Millares 312 3" xfId="2585"/>
    <cellStyle name="Millares 313" xfId="489"/>
    <cellStyle name="Millares 313 2" xfId="4406"/>
    <cellStyle name="Millares 313 3" xfId="2588"/>
    <cellStyle name="Millares 314" xfId="2589"/>
    <cellStyle name="Millares 314 2" xfId="4407"/>
    <cellStyle name="Millares 315" xfId="2603"/>
    <cellStyle name="Millares 315 2" xfId="4421"/>
    <cellStyle name="Millares 316" xfId="2618"/>
    <cellStyle name="Millares 316 2" xfId="4436"/>
    <cellStyle name="Millares 317" xfId="2604"/>
    <cellStyle name="Millares 317 2" xfId="4422"/>
    <cellStyle name="Millares 318" xfId="2619"/>
    <cellStyle name="Millares 318 2" xfId="4437"/>
    <cellStyle name="Millares 319" xfId="2620"/>
    <cellStyle name="Millares 319 2" xfId="4438"/>
    <cellStyle name="Millares 32" xfId="540"/>
    <cellStyle name="Millares 32 2" xfId="1239"/>
    <cellStyle name="Millares 32 2 2" xfId="3559"/>
    <cellStyle name="Millares 32 2 3" xfId="2318"/>
    <cellStyle name="Millares 32 3" xfId="2844"/>
    <cellStyle name="Millares 32 4" xfId="2117"/>
    <cellStyle name="Millares 320" xfId="2621"/>
    <cellStyle name="Millares 320 2" xfId="4439"/>
    <cellStyle name="Millares 321" xfId="2623"/>
    <cellStyle name="Millares 321 2" xfId="4441"/>
    <cellStyle name="Millares 322" xfId="2624"/>
    <cellStyle name="Millares 322 2" xfId="4442"/>
    <cellStyle name="Millares 323" xfId="2637"/>
    <cellStyle name="Millares 323 2" xfId="4455"/>
    <cellStyle name="Millares 324" xfId="2638"/>
    <cellStyle name="Millares 324 2" xfId="4456"/>
    <cellStyle name="Millares 325" xfId="2640"/>
    <cellStyle name="Millares 325 2" xfId="4458"/>
    <cellStyle name="Millares 326" xfId="2653"/>
    <cellStyle name="Millares 326 2" xfId="4471"/>
    <cellStyle name="Millares 327" xfId="2792"/>
    <cellStyle name="Millares 328" xfId="4488"/>
    <cellStyle name="Millares 329" xfId="4489"/>
    <cellStyle name="Millares 33" xfId="543"/>
    <cellStyle name="Millares 33 2" xfId="1242"/>
    <cellStyle name="Millares 33 2 2" xfId="3562"/>
    <cellStyle name="Millares 33 2 3" xfId="2321"/>
    <cellStyle name="Millares 33 3" xfId="2847"/>
    <cellStyle name="Millares 33 4" xfId="2120"/>
    <cellStyle name="Millares 330" xfId="4491"/>
    <cellStyle name="Millares 331" xfId="2091"/>
    <cellStyle name="Millares 332" xfId="2568"/>
    <cellStyle name="Millares 333" xfId="4559"/>
    <cellStyle name="Millares 334" xfId="4561"/>
    <cellStyle name="Millares 335" xfId="423"/>
    <cellStyle name="Millares 337" xfId="4563"/>
    <cellStyle name="Millares 34" xfId="544"/>
    <cellStyle name="Millares 34 2" xfId="1243"/>
    <cellStyle name="Millares 34 2 2" xfId="3563"/>
    <cellStyle name="Millares 34 2 3" xfId="2322"/>
    <cellStyle name="Millares 34 3" xfId="2848"/>
    <cellStyle name="Millares 34 4" xfId="2121"/>
    <cellStyle name="Millares 35" xfId="546"/>
    <cellStyle name="Millares 35 2" xfId="1245"/>
    <cellStyle name="Millares 35 2 2" xfId="3565"/>
    <cellStyle name="Millares 35 2 3" xfId="2324"/>
    <cellStyle name="Millares 35 3" xfId="2850"/>
    <cellStyle name="Millares 35 4" xfId="2123"/>
    <cellStyle name="Millares 36" xfId="541"/>
    <cellStyle name="Millares 36 2" xfId="1240"/>
    <cellStyle name="Millares 36 2 2" xfId="3560"/>
    <cellStyle name="Millares 36 2 3" xfId="2319"/>
    <cellStyle name="Millares 36 3" xfId="2845"/>
    <cellStyle name="Millares 36 4" xfId="2118"/>
    <cellStyle name="Millares 37" xfId="516"/>
    <cellStyle name="Millares 37 2" xfId="1214"/>
    <cellStyle name="Millares 37 2 2" xfId="3534"/>
    <cellStyle name="Millares 37 2 3" xfId="2306"/>
    <cellStyle name="Millares 37 3" xfId="2819"/>
    <cellStyle name="Millares 37 4" xfId="2105"/>
    <cellStyle name="Millares 38" xfId="545"/>
    <cellStyle name="Millares 38 2" xfId="1244"/>
    <cellStyle name="Millares 38 2 2" xfId="3564"/>
    <cellStyle name="Millares 38 2 3" xfId="2323"/>
    <cellStyle name="Millares 38 3" xfId="2849"/>
    <cellStyle name="Millares 38 4" xfId="2122"/>
    <cellStyle name="Millares 39" xfId="548"/>
    <cellStyle name="Millares 39 2" xfId="1247"/>
    <cellStyle name="Millares 39 2 2" xfId="3567"/>
    <cellStyle name="Millares 39 2 3" xfId="2326"/>
    <cellStyle name="Millares 39 3" xfId="2852"/>
    <cellStyle name="Millares 39 4" xfId="2125"/>
    <cellStyle name="Millares 4" xfId="55"/>
    <cellStyle name="Millares 4 2" xfId="75"/>
    <cellStyle name="Millares 4 2 2" xfId="3492"/>
    <cellStyle name="Millares 4 2 3" xfId="2289"/>
    <cellStyle name="Millares 4 2 4" xfId="1173"/>
    <cellStyle name="Millares 4 3" xfId="72"/>
    <cellStyle name="Millares 4 3 2" xfId="218"/>
    <cellStyle name="Millares 4 3 3" xfId="2776"/>
    <cellStyle name="Millares 4 4" xfId="111"/>
    <cellStyle name="Millares 4 4 2" xfId="2088"/>
    <cellStyle name="Millares 4 5" xfId="364"/>
    <cellStyle name="Millares 40" xfId="549"/>
    <cellStyle name="Millares 40 2" xfId="1248"/>
    <cellStyle name="Millares 40 2 2" xfId="3568"/>
    <cellStyle name="Millares 40 2 3" xfId="2327"/>
    <cellStyle name="Millares 40 3" xfId="2853"/>
    <cellStyle name="Millares 40 4" xfId="2126"/>
    <cellStyle name="Millares 41" xfId="553"/>
    <cellStyle name="Millares 41 2" xfId="1252"/>
    <cellStyle name="Millares 41 2 2" xfId="3572"/>
    <cellStyle name="Millares 41 2 3" xfId="2330"/>
    <cellStyle name="Millares 41 3" xfId="2857"/>
    <cellStyle name="Millares 41 4" xfId="2129"/>
    <cellStyle name="Millares 42" xfId="554"/>
    <cellStyle name="Millares 42 2" xfId="1253"/>
    <cellStyle name="Millares 42 2 2" xfId="3573"/>
    <cellStyle name="Millares 42 2 3" xfId="2331"/>
    <cellStyle name="Millares 42 3" xfId="2858"/>
    <cellStyle name="Millares 42 4" xfId="2130"/>
    <cellStyle name="Millares 43" xfId="567"/>
    <cellStyle name="Millares 43 2" xfId="1266"/>
    <cellStyle name="Millares 43 2 2" xfId="3586"/>
    <cellStyle name="Millares 43 2 3" xfId="2332"/>
    <cellStyle name="Millares 43 3" xfId="2871"/>
    <cellStyle name="Millares 43 4" xfId="2131"/>
    <cellStyle name="Millares 44" xfId="551"/>
    <cellStyle name="Millares 44 2" xfId="1250"/>
    <cellStyle name="Millares 44 2 2" xfId="3570"/>
    <cellStyle name="Millares 44 2 3" xfId="2329"/>
    <cellStyle name="Millares 44 3" xfId="2855"/>
    <cellStyle name="Millares 44 4" xfId="2128"/>
    <cellStyle name="Millares 45" xfId="550"/>
    <cellStyle name="Millares 45 2" xfId="1249"/>
    <cellStyle name="Millares 45 2 2" xfId="3569"/>
    <cellStyle name="Millares 45 2 3" xfId="2328"/>
    <cellStyle name="Millares 45 3" xfId="2854"/>
    <cellStyle name="Millares 45 4" xfId="2127"/>
    <cellStyle name="Millares 46" xfId="547"/>
    <cellStyle name="Millares 46 2" xfId="1246"/>
    <cellStyle name="Millares 46 2 2" xfId="3566"/>
    <cellStyle name="Millares 46 2 3" xfId="2325"/>
    <cellStyle name="Millares 46 3" xfId="2851"/>
    <cellStyle name="Millares 46 4" xfId="2124"/>
    <cellStyle name="Millares 47" xfId="569"/>
    <cellStyle name="Millares 47 2" xfId="1268"/>
    <cellStyle name="Millares 47 2 2" xfId="3588"/>
    <cellStyle name="Millares 47 2 3" xfId="2334"/>
    <cellStyle name="Millares 47 3" xfId="2873"/>
    <cellStyle name="Millares 47 4" xfId="2133"/>
    <cellStyle name="Millares 48" xfId="570"/>
    <cellStyle name="Millares 48 2" xfId="1269"/>
    <cellStyle name="Millares 48 2 2" xfId="3589"/>
    <cellStyle name="Millares 48 2 3" xfId="2335"/>
    <cellStyle name="Millares 48 3" xfId="2874"/>
    <cellStyle name="Millares 48 4" xfId="2134"/>
    <cellStyle name="Millares 49" xfId="574"/>
    <cellStyle name="Millares 49 2" xfId="1273"/>
    <cellStyle name="Millares 49 2 2" xfId="3593"/>
    <cellStyle name="Millares 49 2 3" xfId="2338"/>
    <cellStyle name="Millares 49 3" xfId="2878"/>
    <cellStyle name="Millares 49 4" xfId="2137"/>
    <cellStyle name="Millares 5" xfId="96"/>
    <cellStyle name="Millares 5 2" xfId="89"/>
    <cellStyle name="Millares 5 2 2" xfId="297"/>
    <cellStyle name="Millares 5 2 2 2" xfId="3494"/>
    <cellStyle name="Millares 5 2 3" xfId="220"/>
    <cellStyle name="Millares 5 2 3 2" xfId="2290"/>
    <cellStyle name="Millares 5 3" xfId="291"/>
    <cellStyle name="Millares 5 3 2" xfId="2778"/>
    <cellStyle name="Millares 5 4" xfId="219"/>
    <cellStyle name="Millares 5 4 2" xfId="2089"/>
    <cellStyle name="Millares 5 5" xfId="420"/>
    <cellStyle name="Millares 50" xfId="575"/>
    <cellStyle name="Millares 50 2" xfId="1274"/>
    <cellStyle name="Millares 50 2 2" xfId="3594"/>
    <cellStyle name="Millares 50 2 3" xfId="2339"/>
    <cellStyle name="Millares 50 3" xfId="2879"/>
    <cellStyle name="Millares 50 4" xfId="2138"/>
    <cellStyle name="Millares 51" xfId="590"/>
    <cellStyle name="Millares 51 2" xfId="1289"/>
    <cellStyle name="Millares 51 2 2" xfId="3609"/>
    <cellStyle name="Millares 51 2 3" xfId="2342"/>
    <cellStyle name="Millares 51 3" xfId="2894"/>
    <cellStyle name="Millares 51 4" xfId="2141"/>
    <cellStyle name="Millares 52" xfId="572"/>
    <cellStyle name="Millares 52 2" xfId="1271"/>
    <cellStyle name="Millares 52 2 2" xfId="3591"/>
    <cellStyle name="Millares 52 2 3" xfId="2337"/>
    <cellStyle name="Millares 52 3" xfId="2876"/>
    <cellStyle name="Millares 52 4" xfId="2136"/>
    <cellStyle name="Millares 53" xfId="571"/>
    <cellStyle name="Millares 53 2" xfId="1270"/>
    <cellStyle name="Millares 53 2 2" xfId="3590"/>
    <cellStyle name="Millares 53 2 3" xfId="2336"/>
    <cellStyle name="Millares 53 3" xfId="2875"/>
    <cellStyle name="Millares 53 4" xfId="2135"/>
    <cellStyle name="Millares 54" xfId="568"/>
    <cellStyle name="Millares 54 2" xfId="1267"/>
    <cellStyle name="Millares 54 2 2" xfId="3587"/>
    <cellStyle name="Millares 54 2 3" xfId="2333"/>
    <cellStyle name="Millares 54 3" xfId="2872"/>
    <cellStyle name="Millares 54 4" xfId="2132"/>
    <cellStyle name="Millares 55" xfId="578"/>
    <cellStyle name="Millares 55 2" xfId="1277"/>
    <cellStyle name="Millares 55 2 2" xfId="3597"/>
    <cellStyle name="Millares 55 2 3" xfId="2340"/>
    <cellStyle name="Millares 55 3" xfId="2882"/>
    <cellStyle name="Millares 55 4" xfId="2139"/>
    <cellStyle name="Millares 56" xfId="581"/>
    <cellStyle name="Millares 56 2" xfId="1280"/>
    <cellStyle name="Millares 56 2 2" xfId="3600"/>
    <cellStyle name="Millares 56 2 3" xfId="2341"/>
    <cellStyle name="Millares 56 3" xfId="2885"/>
    <cellStyle name="Millares 56 4" xfId="2140"/>
    <cellStyle name="Millares 57" xfId="591"/>
    <cellStyle name="Millares 57 2" xfId="1290"/>
    <cellStyle name="Millares 57 2 2" xfId="3610"/>
    <cellStyle name="Millares 57 2 3" xfId="2343"/>
    <cellStyle name="Millares 57 3" xfId="2895"/>
    <cellStyle name="Millares 57 4" xfId="2142"/>
    <cellStyle name="Millares 58" xfId="592"/>
    <cellStyle name="Millares 58 2" xfId="1291"/>
    <cellStyle name="Millares 58 2 2" xfId="3611"/>
    <cellStyle name="Millares 58 2 3" xfId="2344"/>
    <cellStyle name="Millares 58 3" xfId="2896"/>
    <cellStyle name="Millares 58 4" xfId="2143"/>
    <cellStyle name="Millares 59" xfId="632"/>
    <cellStyle name="Millares 59 2" xfId="1331"/>
    <cellStyle name="Millares 59 2 2" xfId="3651"/>
    <cellStyle name="Millares 59 2 3" xfId="2345"/>
    <cellStyle name="Millares 59 3" xfId="2936"/>
    <cellStyle name="Millares 59 4" xfId="2144"/>
    <cellStyle name="Millares 6" xfId="88"/>
    <cellStyle name="Millares 6 2" xfId="112"/>
    <cellStyle name="Millares 6 2 2" xfId="222"/>
    <cellStyle name="Millares 6 2 2 2" xfId="3495"/>
    <cellStyle name="Millares 6 2 3" xfId="2291"/>
    <cellStyle name="Millares 6 3" xfId="293"/>
    <cellStyle name="Millares 6 3 2" xfId="2779"/>
    <cellStyle name="Millares 6 4" xfId="221"/>
    <cellStyle name="Millares 6 4 2" xfId="2090"/>
    <cellStyle name="Millares 6 5" xfId="366"/>
    <cellStyle name="Millares 6 6" xfId="367"/>
    <cellStyle name="Millares 6 7" xfId="365"/>
    <cellStyle name="Millares 60" xfId="633"/>
    <cellStyle name="Millares 60 2" xfId="1332"/>
    <cellStyle name="Millares 60 2 2" xfId="3652"/>
    <cellStyle name="Millares 60 2 3" xfId="2346"/>
    <cellStyle name="Millares 60 3" xfId="2937"/>
    <cellStyle name="Millares 60 4" xfId="2145"/>
    <cellStyle name="Millares 61" xfId="635"/>
    <cellStyle name="Millares 61 2" xfId="1334"/>
    <cellStyle name="Millares 61 2 2" xfId="3654"/>
    <cellStyle name="Millares 61 2 3" xfId="2347"/>
    <cellStyle name="Millares 61 3" xfId="2939"/>
    <cellStyle name="Millares 61 4" xfId="2146"/>
    <cellStyle name="Millares 62" xfId="636"/>
    <cellStyle name="Millares 62 2" xfId="1335"/>
    <cellStyle name="Millares 62 2 2" xfId="3655"/>
    <cellStyle name="Millares 62 2 3" xfId="2348"/>
    <cellStyle name="Millares 62 3" xfId="2940"/>
    <cellStyle name="Millares 62 4" xfId="2147"/>
    <cellStyle name="Millares 63" xfId="649"/>
    <cellStyle name="Millares 63 2" xfId="1348"/>
    <cellStyle name="Millares 63 2 2" xfId="3668"/>
    <cellStyle name="Millares 63 2 3" xfId="2349"/>
    <cellStyle name="Millares 63 3" xfId="2953"/>
    <cellStyle name="Millares 63 4" xfId="2148"/>
    <cellStyle name="Millares 64" xfId="650"/>
    <cellStyle name="Millares 64 2" xfId="1349"/>
    <cellStyle name="Millares 64 2 2" xfId="3669"/>
    <cellStyle name="Millares 64 2 3" xfId="2350"/>
    <cellStyle name="Millares 64 3" xfId="2954"/>
    <cellStyle name="Millares 64 4" xfId="2149"/>
    <cellStyle name="Millares 65" xfId="652"/>
    <cellStyle name="Millares 65 2" xfId="1351"/>
    <cellStyle name="Millares 65 2 2" xfId="3671"/>
    <cellStyle name="Millares 65 2 3" xfId="2351"/>
    <cellStyle name="Millares 65 3" xfId="2956"/>
    <cellStyle name="Millares 65 4" xfId="2150"/>
    <cellStyle name="Millares 66" xfId="653"/>
    <cellStyle name="Millares 66 2" xfId="1352"/>
    <cellStyle name="Millares 66 2 2" xfId="3672"/>
    <cellStyle name="Millares 66 2 3" xfId="2352"/>
    <cellStyle name="Millares 66 3" xfId="2957"/>
    <cellStyle name="Millares 66 4" xfId="2151"/>
    <cellStyle name="Millares 67" xfId="666"/>
    <cellStyle name="Millares 67 2" xfId="1365"/>
    <cellStyle name="Millares 67 2 2" xfId="3685"/>
    <cellStyle name="Millares 67 2 3" xfId="2353"/>
    <cellStyle name="Millares 67 3" xfId="2970"/>
    <cellStyle name="Millares 67 4" xfId="2152"/>
    <cellStyle name="Millares 68" xfId="667"/>
    <cellStyle name="Millares 68 2" xfId="1366"/>
    <cellStyle name="Millares 68 2 2" xfId="3686"/>
    <cellStyle name="Millares 68 2 3" xfId="2354"/>
    <cellStyle name="Millares 68 3" xfId="2971"/>
    <cellStyle name="Millares 68 4" xfId="2153"/>
    <cellStyle name="Millares 69" xfId="669"/>
    <cellStyle name="Millares 69 2" xfId="1368"/>
    <cellStyle name="Millares 69 2 2" xfId="3688"/>
    <cellStyle name="Millares 69 2 3" xfId="2355"/>
    <cellStyle name="Millares 69 3" xfId="2973"/>
    <cellStyle name="Millares 69 4" xfId="2154"/>
    <cellStyle name="Millares 7" xfId="265"/>
    <cellStyle name="Millares 7 2" xfId="1188"/>
    <cellStyle name="Millares 7 2 2" xfId="3508"/>
    <cellStyle name="Millares 7 2 3" xfId="2293"/>
    <cellStyle name="Millares 7 3" xfId="2793"/>
    <cellStyle name="Millares 7 4" xfId="2092"/>
    <cellStyle name="Millares 7 5" xfId="490"/>
    <cellStyle name="Millares 70" xfId="682"/>
    <cellStyle name="Millares 70 2" xfId="1381"/>
    <cellStyle name="Millares 70 2 2" xfId="3701"/>
    <cellStyle name="Millares 70 2 3" xfId="2356"/>
    <cellStyle name="Millares 70 3" xfId="2986"/>
    <cellStyle name="Millares 70 4" xfId="2155"/>
    <cellStyle name="Millares 71" xfId="683"/>
    <cellStyle name="Millares 71 2" xfId="1382"/>
    <cellStyle name="Millares 71 2 2" xfId="3702"/>
    <cellStyle name="Millares 71 2 3" xfId="2357"/>
    <cellStyle name="Millares 71 3" xfId="2987"/>
    <cellStyle name="Millares 71 4" xfId="2156"/>
    <cellStyle name="Millares 72" xfId="685"/>
    <cellStyle name="Millares 72 2" xfId="1384"/>
    <cellStyle name="Millares 72 2 2" xfId="3704"/>
    <cellStyle name="Millares 72 2 3" xfId="2358"/>
    <cellStyle name="Millares 72 3" xfId="2989"/>
    <cellStyle name="Millares 72 4" xfId="2157"/>
    <cellStyle name="Millares 73" xfId="686"/>
    <cellStyle name="Millares 73 2" xfId="1385"/>
    <cellStyle name="Millares 73 2 2" xfId="3705"/>
    <cellStyle name="Millares 73 2 3" xfId="2359"/>
    <cellStyle name="Millares 73 3" xfId="2990"/>
    <cellStyle name="Millares 73 4" xfId="2158"/>
    <cellStyle name="Millares 74" xfId="699"/>
    <cellStyle name="Millares 74 2" xfId="1398"/>
    <cellStyle name="Millares 74 2 2" xfId="3718"/>
    <cellStyle name="Millares 74 2 3" xfId="2360"/>
    <cellStyle name="Millares 74 3" xfId="3003"/>
    <cellStyle name="Millares 74 4" xfId="2159"/>
    <cellStyle name="Millares 75" xfId="700"/>
    <cellStyle name="Millares 75 2" xfId="1399"/>
    <cellStyle name="Millares 75 2 2" xfId="3719"/>
    <cellStyle name="Millares 75 2 3" xfId="2361"/>
    <cellStyle name="Millares 75 3" xfId="3004"/>
    <cellStyle name="Millares 75 4" xfId="2160"/>
    <cellStyle name="Millares 76" xfId="703"/>
    <cellStyle name="Millares 76 2" xfId="1402"/>
    <cellStyle name="Millares 76 2 2" xfId="3722"/>
    <cellStyle name="Millares 76 2 3" xfId="2363"/>
    <cellStyle name="Millares 76 3" xfId="3007"/>
    <cellStyle name="Millares 76 4" xfId="2162"/>
    <cellStyle name="Millares 77" xfId="704"/>
    <cellStyle name="Millares 77 2" xfId="1403"/>
    <cellStyle name="Millares 77 2 2" xfId="3723"/>
    <cellStyle name="Millares 77 2 3" xfId="2364"/>
    <cellStyle name="Millares 77 3" xfId="3008"/>
    <cellStyle name="Millares 77 4" xfId="2163"/>
    <cellStyle name="Millares 78" xfId="717"/>
    <cellStyle name="Millares 78 2" xfId="1416"/>
    <cellStyle name="Millares 78 2 2" xfId="3736"/>
    <cellStyle name="Millares 78 2 3" xfId="2365"/>
    <cellStyle name="Millares 78 3" xfId="3021"/>
    <cellStyle name="Millares 78 4" xfId="2164"/>
    <cellStyle name="Millares 79" xfId="701"/>
    <cellStyle name="Millares 79 2" xfId="1400"/>
    <cellStyle name="Millares 79 2 2" xfId="3720"/>
    <cellStyle name="Millares 79 2 3" xfId="2362"/>
    <cellStyle name="Millares 79 3" xfId="3005"/>
    <cellStyle name="Millares 79 4" xfId="2161"/>
    <cellStyle name="Millares 8" xfId="368"/>
    <cellStyle name="Millares 8 2" xfId="1189"/>
    <cellStyle name="Millares 8 2 2" xfId="3509"/>
    <cellStyle name="Millares 8 2 3" xfId="2294"/>
    <cellStyle name="Millares 8 3" xfId="2794"/>
    <cellStyle name="Millares 8 4" xfId="2093"/>
    <cellStyle name="Millares 8 5" xfId="491"/>
    <cellStyle name="Millares 80" xfId="718"/>
    <cellStyle name="Millares 80 2" xfId="1417"/>
    <cellStyle name="Millares 80 2 2" xfId="3737"/>
    <cellStyle name="Millares 80 2 3" xfId="2366"/>
    <cellStyle name="Millares 80 3" xfId="3022"/>
    <cellStyle name="Millares 80 4" xfId="2165"/>
    <cellStyle name="Millares 81" xfId="719"/>
    <cellStyle name="Millares 81 2" xfId="1418"/>
    <cellStyle name="Millares 81 2 2" xfId="3738"/>
    <cellStyle name="Millares 81 2 3" xfId="2367"/>
    <cellStyle name="Millares 81 3" xfId="3023"/>
    <cellStyle name="Millares 81 4" xfId="2166"/>
    <cellStyle name="Millares 82" xfId="722"/>
    <cellStyle name="Millares 82 2" xfId="1421"/>
    <cellStyle name="Millares 82 2 2" xfId="3741"/>
    <cellStyle name="Millares 82 2 3" xfId="2369"/>
    <cellStyle name="Millares 82 3" xfId="3026"/>
    <cellStyle name="Millares 82 4" xfId="2168"/>
    <cellStyle name="Millares 83" xfId="723"/>
    <cellStyle name="Millares 83 2" xfId="1422"/>
    <cellStyle name="Millares 83 2 2" xfId="3742"/>
    <cellStyle name="Millares 83 2 3" xfId="2370"/>
    <cellStyle name="Millares 83 3" xfId="3027"/>
    <cellStyle name="Millares 83 4" xfId="2169"/>
    <cellStyle name="Millares 84" xfId="736"/>
    <cellStyle name="Millares 84 2" xfId="1435"/>
    <cellStyle name="Millares 84 2 2" xfId="3755"/>
    <cellStyle name="Millares 84 2 3" xfId="2371"/>
    <cellStyle name="Millares 84 3" xfId="3040"/>
    <cellStyle name="Millares 84 4" xfId="2170"/>
    <cellStyle name="Millares 85" xfId="720"/>
    <cellStyle name="Millares 85 2" xfId="1419"/>
    <cellStyle name="Millares 85 2 2" xfId="3739"/>
    <cellStyle name="Millares 85 2 3" xfId="2368"/>
    <cellStyle name="Millares 85 3" xfId="3024"/>
    <cellStyle name="Millares 85 4" xfId="2167"/>
    <cellStyle name="Millares 86" xfId="737"/>
    <cellStyle name="Millares 86 2" xfId="1436"/>
    <cellStyle name="Millares 86 2 2" xfId="3756"/>
    <cellStyle name="Millares 86 2 3" xfId="2372"/>
    <cellStyle name="Millares 86 3" xfId="3041"/>
    <cellStyle name="Millares 86 4" xfId="2171"/>
    <cellStyle name="Millares 87" xfId="739"/>
    <cellStyle name="Millares 87 2" xfId="1438"/>
    <cellStyle name="Millares 87 2 2" xfId="3758"/>
    <cellStyle name="Millares 87 2 3" xfId="2374"/>
    <cellStyle name="Millares 87 3" xfId="3043"/>
    <cellStyle name="Millares 87 4" xfId="2173"/>
    <cellStyle name="Millares 88" xfId="741"/>
    <cellStyle name="Millares 88 2" xfId="1440"/>
    <cellStyle name="Millares 88 2 2" xfId="3760"/>
    <cellStyle name="Millares 88 2 3" xfId="2375"/>
    <cellStyle name="Millares 88 3" xfId="3045"/>
    <cellStyle name="Millares 88 4" xfId="2174"/>
    <cellStyle name="Millares 89" xfId="742"/>
    <cellStyle name="Millares 89 2" xfId="1441"/>
    <cellStyle name="Millares 89 2 2" xfId="3761"/>
    <cellStyle name="Millares 89 2 3" xfId="2376"/>
    <cellStyle name="Millares 89 3" xfId="3046"/>
    <cellStyle name="Millares 89 4" xfId="2175"/>
    <cellStyle name="Millares 9" xfId="369"/>
    <cellStyle name="Millares 9 2" xfId="1193"/>
    <cellStyle name="Millares 9 2 2" xfId="3513"/>
    <cellStyle name="Millares 9 2 3" xfId="2297"/>
    <cellStyle name="Millares 9 3" xfId="2798"/>
    <cellStyle name="Millares 9 4" xfId="2096"/>
    <cellStyle name="Millares 9 5" xfId="495"/>
    <cellStyle name="Millares 90" xfId="738"/>
    <cellStyle name="Millares 90 2" xfId="1437"/>
    <cellStyle name="Millares 90 2 2" xfId="3757"/>
    <cellStyle name="Millares 90 2 3" xfId="2373"/>
    <cellStyle name="Millares 90 3" xfId="3042"/>
    <cellStyle name="Millares 90 4" xfId="2172"/>
    <cellStyle name="Millares 91" xfId="755"/>
    <cellStyle name="Millares 91 2" xfId="1454"/>
    <cellStyle name="Millares 91 2 2" xfId="3774"/>
    <cellStyle name="Millares 91 2 3" xfId="2377"/>
    <cellStyle name="Millares 91 3" xfId="3059"/>
    <cellStyle name="Millares 91 4" xfId="2176"/>
    <cellStyle name="Millares 92" xfId="756"/>
    <cellStyle name="Millares 92 2" xfId="1455"/>
    <cellStyle name="Millares 92 2 2" xfId="3775"/>
    <cellStyle name="Millares 92 2 3" xfId="2378"/>
    <cellStyle name="Millares 92 3" xfId="3060"/>
    <cellStyle name="Millares 92 4" xfId="2177"/>
    <cellStyle name="Millares 93" xfId="757"/>
    <cellStyle name="Millares 93 2" xfId="1456"/>
    <cellStyle name="Millares 93 2 2" xfId="3776"/>
    <cellStyle name="Millares 93 2 3" xfId="2379"/>
    <cellStyle name="Millares 93 3" xfId="3061"/>
    <cellStyle name="Millares 93 4" xfId="2178"/>
    <cellStyle name="Millares 94" xfId="760"/>
    <cellStyle name="Millares 94 2" xfId="1459"/>
    <cellStyle name="Millares 94 2 2" xfId="3779"/>
    <cellStyle name="Millares 94 2 3" xfId="2381"/>
    <cellStyle name="Millares 94 3" xfId="3064"/>
    <cellStyle name="Millares 94 4" xfId="2180"/>
    <cellStyle name="Millares 95" xfId="761"/>
    <cellStyle name="Millares 95 2" xfId="1460"/>
    <cellStyle name="Millares 95 2 2" xfId="3780"/>
    <cellStyle name="Millares 95 2 3" xfId="2382"/>
    <cellStyle name="Millares 95 3" xfId="3065"/>
    <cellStyle name="Millares 95 4" xfId="2181"/>
    <cellStyle name="Millares 96" xfId="774"/>
    <cellStyle name="Millares 96 2" xfId="1473"/>
    <cellStyle name="Millares 96 2 2" xfId="3793"/>
    <cellStyle name="Millares 96 2 3" xfId="2383"/>
    <cellStyle name="Millares 96 3" xfId="3078"/>
    <cellStyle name="Millares 96 4" xfId="2182"/>
    <cellStyle name="Millares 97" xfId="758"/>
    <cellStyle name="Millares 97 2" xfId="1457"/>
    <cellStyle name="Millares 97 2 2" xfId="3777"/>
    <cellStyle name="Millares 97 2 3" xfId="2380"/>
    <cellStyle name="Millares 97 3" xfId="3062"/>
    <cellStyle name="Millares 97 4" xfId="2179"/>
    <cellStyle name="Millares 98" xfId="776"/>
    <cellStyle name="Millares 98 2" xfId="1475"/>
    <cellStyle name="Millares 98 2 2" xfId="3795"/>
    <cellStyle name="Millares 98 2 3" xfId="2385"/>
    <cellStyle name="Millares 98 3" xfId="3080"/>
    <cellStyle name="Millares 98 4" xfId="2184"/>
    <cellStyle name="Millares 99" xfId="777"/>
    <cellStyle name="Millares 99 2" xfId="1476"/>
    <cellStyle name="Millares 99 2 2" xfId="3796"/>
    <cellStyle name="Millares 99 2 3" xfId="2386"/>
    <cellStyle name="Millares 99 3" xfId="3081"/>
    <cellStyle name="Millares 99 4" xfId="2185"/>
    <cellStyle name="Moneda" xfId="346" builtinId="4"/>
    <cellStyle name="Moneda [0] 2" xfId="370"/>
    <cellStyle name="Moneda [0] 2 2" xfId="371"/>
    <cellStyle name="Moneda [0] 2 3" xfId="418"/>
    <cellStyle name="Moneda [0] 3" xfId="372"/>
    <cellStyle name="Moneda 10" xfId="373"/>
    <cellStyle name="Moneda 11" xfId="374"/>
    <cellStyle name="Moneda 12" xfId="375"/>
    <cellStyle name="Moneda 13" xfId="376"/>
    <cellStyle name="Moneda 14" xfId="377"/>
    <cellStyle name="Moneda 15" xfId="378"/>
    <cellStyle name="Moneda 16" xfId="379"/>
    <cellStyle name="Moneda 17" xfId="380"/>
    <cellStyle name="Moneda 18" xfId="381"/>
    <cellStyle name="Moneda 19" xfId="382"/>
    <cellStyle name="Moneda 2" xfId="5"/>
    <cellStyle name="Moneda 2 2" xfId="54"/>
    <cellStyle name="Moneda 2 2 2" xfId="298"/>
    <cellStyle name="Moneda 2 2 3" xfId="224"/>
    <cellStyle name="Moneda 2 2 4" xfId="339"/>
    <cellStyle name="Moneda 2 2 5" xfId="383"/>
    <cellStyle name="Moneda 2 3" xfId="50"/>
    <cellStyle name="Moneda 2 3 2" xfId="284"/>
    <cellStyle name="Moneda 2 3 3" xfId="342"/>
    <cellStyle name="Moneda 2 3 4" xfId="384"/>
    <cellStyle name="Moneda 2 4" xfId="223"/>
    <cellStyle name="Moneda 2 5" xfId="301"/>
    <cellStyle name="Moneda 2 6" xfId="315"/>
    <cellStyle name="Moneda 2 7" xfId="385"/>
    <cellStyle name="Moneda 20" xfId="386"/>
    <cellStyle name="Moneda 21" xfId="387"/>
    <cellStyle name="Moneda 22" xfId="388"/>
    <cellStyle name="Moneda 3" xfId="51"/>
    <cellStyle name="Moneda 3 2" xfId="57"/>
    <cellStyle name="Moneda 3 2 2" xfId="292"/>
    <cellStyle name="Moneda 3 3" xfId="225"/>
    <cellStyle name="Moneda 3 4" xfId="302"/>
    <cellStyle name="Moneda 3 5" xfId="389"/>
    <cellStyle name="Moneda 3 6" xfId="4507"/>
    <cellStyle name="Moneda 4" xfId="56"/>
    <cellStyle name="Moneda 4 2" xfId="227"/>
    <cellStyle name="Moneda 4 3" xfId="226"/>
    <cellStyle name="Moneda 4 4" xfId="390"/>
    <cellStyle name="Moneda 5" xfId="300"/>
    <cellStyle name="Moneda 5 2" xfId="320"/>
    <cellStyle name="Moneda 5 3" xfId="391"/>
    <cellStyle name="Moneda 6" xfId="323"/>
    <cellStyle name="Moneda 7" xfId="344"/>
    <cellStyle name="Moneda 8" xfId="392"/>
    <cellStyle name="Moneda 8 2" xfId="393"/>
    <cellStyle name="Moneda 9" xfId="394"/>
    <cellStyle name="Moneda 9 2" xfId="395"/>
    <cellStyle name="Neutral" xfId="13" builtinId="28" customBuiltin="1"/>
    <cellStyle name="Neutral 2" xfId="78"/>
    <cellStyle name="Neutral 2 2" xfId="228"/>
    <cellStyle name="Normal" xfId="0" builtinId="0"/>
    <cellStyle name="Normal 10" xfId="119"/>
    <cellStyle name="Normal 10 2" xfId="123"/>
    <cellStyle name="Normal 10 2 2" xfId="4472"/>
    <cellStyle name="Normal 10 3" xfId="2654"/>
    <cellStyle name="Normal 10 4" xfId="4492"/>
    <cellStyle name="Normal 11" xfId="303"/>
    <cellStyle name="Normal 11 2" xfId="345"/>
    <cellStyle name="Normal 11 3" xfId="396"/>
    <cellStyle name="Normal 12" xfId="304"/>
    <cellStyle name="Normal 12 2" xfId="397"/>
    <cellStyle name="Normal 12 3" xfId="2668"/>
    <cellStyle name="Normal 13" xfId="398"/>
    <cellStyle name="Normal 13 2" xfId="399"/>
    <cellStyle name="Normal 13 2 2" xfId="4508"/>
    <cellStyle name="Normal 13 3" xfId="4509"/>
    <cellStyle name="Normal 13 4" xfId="4510"/>
    <cellStyle name="Normal 13 5" xfId="4511"/>
    <cellStyle name="Normal 13 6" xfId="4486"/>
    <cellStyle name="Normal 14" xfId="400"/>
    <cellStyle name="Normal 14 2" xfId="4487"/>
    <cellStyle name="Normal 15" xfId="120"/>
    <cellStyle name="Normal 15 2" xfId="4490"/>
    <cellStyle name="Normal 16" xfId="4512"/>
    <cellStyle name="Normal 17" xfId="4513"/>
    <cellStyle name="Normal 17 2" xfId="4514"/>
    <cellStyle name="Normal 17 2 2" xfId="4515"/>
    <cellStyle name="Normal 17 3" xfId="4516"/>
    <cellStyle name="Normal 18" xfId="4517"/>
    <cellStyle name="Normal 19" xfId="4518"/>
    <cellStyle name="Normal 2" xfId="1"/>
    <cellStyle name="Normal 2 10" xfId="4519"/>
    <cellStyle name="Normal 2 11" xfId="4520"/>
    <cellStyle name="Normal 2 2" xfId="2"/>
    <cellStyle name="Normal 2 2 2" xfId="4"/>
    <cellStyle name="Normal 2 2 2 2" xfId="4521"/>
    <cellStyle name="Normal 2 2 3" xfId="230"/>
    <cellStyle name="Normal 2 2 4" xfId="229"/>
    <cellStyle name="Normal 2 3" xfId="231"/>
    <cellStyle name="Normal 2 3 2" xfId="312"/>
    <cellStyle name="Normal 2 3 3" xfId="401"/>
    <cellStyle name="Normal 2 3 4" xfId="4522"/>
    <cellStyle name="Normal 2 4" xfId="4523"/>
    <cellStyle name="Normal 2 5" xfId="4524"/>
    <cellStyle name="Normal 2 6" xfId="4525"/>
    <cellStyle name="Normal 2 7" xfId="4526"/>
    <cellStyle name="Normal 2 8" xfId="4527"/>
    <cellStyle name="Normal 2 9" xfId="4528"/>
    <cellStyle name="Normal 2_Total asignaciones 2008 al 30.12.2008 con emp SSSSSSS" xfId="4529"/>
    <cellStyle name="Normal 20" xfId="4530"/>
    <cellStyle name="Normal 21" xfId="4531"/>
    <cellStyle name="Normal 21 2" xfId="4532"/>
    <cellStyle name="Normal 21 3" xfId="4533"/>
    <cellStyle name="Normal 22" xfId="122"/>
    <cellStyle name="Normal 22 2" xfId="4534"/>
    <cellStyle name="Normal 23" xfId="4535"/>
    <cellStyle name="Normal 24" xfId="4560"/>
    <cellStyle name="Normal 25" xfId="4536"/>
    <cellStyle name="Normal 27" xfId="4562"/>
    <cellStyle name="Normal 3" xfId="48"/>
    <cellStyle name="Normal 3 2" xfId="52"/>
    <cellStyle name="Normal 3 2 2" xfId="71"/>
    <cellStyle name="Normal 3 2 2 2" xfId="330"/>
    <cellStyle name="Normal 3 2 2 3" xfId="402"/>
    <cellStyle name="Normal 3 2 3" xfId="110"/>
    <cellStyle name="Normal 3 2 4" xfId="299"/>
    <cellStyle name="Normal 3 3" xfId="233"/>
    <cellStyle name="Normal 3 3 2" xfId="337"/>
    <cellStyle name="Normal 3 3 3" xfId="403"/>
    <cellStyle name="Normal 3 4" xfId="124"/>
    <cellStyle name="Normal 3 4 2" xfId="331"/>
    <cellStyle name="Normal 3 4 3" xfId="404"/>
    <cellStyle name="Normal 3 4 4" xfId="4537"/>
    <cellStyle name="Normal 3 5" xfId="232"/>
    <cellStyle name="Normal 3 5 2" xfId="4538"/>
    <cellStyle name="Normal 3 6" xfId="308"/>
    <cellStyle name="Normal 3 6 2" xfId="4539"/>
    <cellStyle name="Normal 3 7" xfId="4540"/>
    <cellStyle name="Normal 3 8" xfId="4541"/>
    <cellStyle name="Normal 3 9" xfId="4542"/>
    <cellStyle name="Normal 4" xfId="68"/>
    <cellStyle name="Normal 4 10" xfId="4543"/>
    <cellStyle name="Normal 4 11" xfId="4544"/>
    <cellStyle name="Normal 4 2" xfId="74"/>
    <cellStyle name="Normal 4 2 2" xfId="318"/>
    <cellStyle name="Normal 4 2 3" xfId="405"/>
    <cellStyle name="Normal 4 3" xfId="321"/>
    <cellStyle name="Normal 4 4" xfId="324"/>
    <cellStyle name="Normal 4 4 2" xfId="4545"/>
    <cellStyle name="Normal 4 5" xfId="332"/>
    <cellStyle name="Normal 4 5 2" xfId="4546"/>
    <cellStyle name="Normal 4 6" xfId="309"/>
    <cellStyle name="Normal 4 6 2" xfId="4547"/>
    <cellStyle name="Normal 4 7" xfId="4548"/>
    <cellStyle name="Normal 4 8" xfId="4549"/>
    <cellStyle name="Normal 4 9" xfId="4550"/>
    <cellStyle name="Normal 5" xfId="83"/>
    <cellStyle name="Normal 5 2" xfId="65"/>
    <cellStyle name="Normal 5 2 2" xfId="234"/>
    <cellStyle name="Normal 5 2 2 2" xfId="3396"/>
    <cellStyle name="Normal 5 2 3" xfId="1091"/>
    <cellStyle name="Normal 5 3" xfId="316"/>
    <cellStyle name="Normal 5 4" xfId="406"/>
    <cellStyle name="Normal 5 4 2" xfId="4551"/>
    <cellStyle name="Normal 6" xfId="114"/>
    <cellStyle name="Normal 6 2" xfId="294"/>
    <cellStyle name="Normal 6 2 2" xfId="3398"/>
    <cellStyle name="Normal 6 2 3" xfId="1092"/>
    <cellStyle name="Normal 6 3" xfId="235"/>
    <cellStyle name="Normal 6 3 2" xfId="2682"/>
    <cellStyle name="Normal 6 4" xfId="310"/>
    <cellStyle name="Normal 6 5" xfId="407"/>
    <cellStyle name="Normal 7" xfId="236"/>
    <cellStyle name="Normal 7 2" xfId="237"/>
    <cellStyle name="Normal 7 2 2" xfId="3464"/>
    <cellStyle name="Normal 7 3" xfId="2748"/>
    <cellStyle name="Normal 8" xfId="238"/>
    <cellStyle name="Normal 8 2" xfId="311"/>
    <cellStyle name="Normal 8 2 2" xfId="3981"/>
    <cellStyle name="Normal 8 2 3" xfId="1661"/>
    <cellStyle name="Normal 8 3" xfId="409"/>
    <cellStyle name="Normal 8 3 2" xfId="4552"/>
    <cellStyle name="Normal 8 4" xfId="4553"/>
    <cellStyle name="Normal 9" xfId="118"/>
    <cellStyle name="Normal 9 2" xfId="325"/>
    <cellStyle name="Normal 9 2 2" xfId="4000"/>
    <cellStyle name="Normal 9 3" xfId="410"/>
    <cellStyle name="Normal 9 3 2" xfId="3284"/>
    <cellStyle name="Notas" xfId="20" builtinId="10" customBuiltin="1"/>
    <cellStyle name="Notas 10" xfId="476"/>
    <cellStyle name="Notas 10 2" xfId="1174"/>
    <cellStyle name="Notas 10 2 2" xfId="3493"/>
    <cellStyle name="Notas 10 3" xfId="2777"/>
    <cellStyle name="Notas 11" xfId="494"/>
    <cellStyle name="Notas 11 2" xfId="1192"/>
    <cellStyle name="Notas 11 2 2" xfId="3512"/>
    <cellStyle name="Notas 11 3" xfId="2797"/>
    <cellStyle name="Notas 12" xfId="520"/>
    <cellStyle name="Notas 12 2" xfId="1218"/>
    <cellStyle name="Notas 12 2 2" xfId="3538"/>
    <cellStyle name="Notas 12 3" xfId="2823"/>
    <cellStyle name="Notas 13" xfId="552"/>
    <cellStyle name="Notas 13 2" xfId="1251"/>
    <cellStyle name="Notas 13 2 2" xfId="3571"/>
    <cellStyle name="Notas 13 3" xfId="2856"/>
    <cellStyle name="Notas 14" xfId="573"/>
    <cellStyle name="Notas 14 2" xfId="1272"/>
    <cellStyle name="Notas 14 2 2" xfId="3592"/>
    <cellStyle name="Notas 14 3" xfId="2877"/>
    <cellStyle name="Notas 15" xfId="593"/>
    <cellStyle name="Notas 15 2" xfId="1292"/>
    <cellStyle name="Notas 15 2 2" xfId="3612"/>
    <cellStyle name="Notas 15 3" xfId="2897"/>
    <cellStyle name="Notas 16" xfId="606"/>
    <cellStyle name="Notas 16 2" xfId="1305"/>
    <cellStyle name="Notas 16 2 2" xfId="3625"/>
    <cellStyle name="Notas 16 3" xfId="2910"/>
    <cellStyle name="Notas 17" xfId="619"/>
    <cellStyle name="Notas 17 2" xfId="1318"/>
    <cellStyle name="Notas 17 2 2" xfId="3638"/>
    <cellStyle name="Notas 17 3" xfId="2923"/>
    <cellStyle name="Notas 18" xfId="634"/>
    <cellStyle name="Notas 18 2" xfId="1333"/>
    <cellStyle name="Notas 18 2 2" xfId="3653"/>
    <cellStyle name="Notas 18 3" xfId="2938"/>
    <cellStyle name="Notas 19" xfId="651"/>
    <cellStyle name="Notas 19 2" xfId="1350"/>
    <cellStyle name="Notas 19 2 2" xfId="3670"/>
    <cellStyle name="Notas 19 3" xfId="2955"/>
    <cellStyle name="Notas 2" xfId="99"/>
    <cellStyle name="Notas 2 2" xfId="239"/>
    <cellStyle name="Notas 2 2 2" xfId="3397"/>
    <cellStyle name="Notas 2 3" xfId="2681"/>
    <cellStyle name="Notas 20" xfId="668"/>
    <cellStyle name="Notas 20 2" xfId="1367"/>
    <cellStyle name="Notas 20 2 2" xfId="3687"/>
    <cellStyle name="Notas 20 3" xfId="2972"/>
    <cellStyle name="Notas 21" xfId="684"/>
    <cellStyle name="Notas 21 2" xfId="1383"/>
    <cellStyle name="Notas 21 2 2" xfId="3703"/>
    <cellStyle name="Notas 21 3" xfId="2988"/>
    <cellStyle name="Notas 22" xfId="702"/>
    <cellStyle name="Notas 22 2" xfId="1401"/>
    <cellStyle name="Notas 22 2 2" xfId="3721"/>
    <cellStyle name="Notas 22 3" xfId="3006"/>
    <cellStyle name="Notas 23" xfId="721"/>
    <cellStyle name="Notas 23 2" xfId="1420"/>
    <cellStyle name="Notas 23 2 2" xfId="3740"/>
    <cellStyle name="Notas 23 3" xfId="3025"/>
    <cellStyle name="Notas 24" xfId="740"/>
    <cellStyle name="Notas 24 2" xfId="1439"/>
    <cellStyle name="Notas 24 2 2" xfId="3759"/>
    <cellStyle name="Notas 24 3" xfId="3044"/>
    <cellStyle name="Notas 25" xfId="759"/>
    <cellStyle name="Notas 25 2" xfId="1458"/>
    <cellStyle name="Notas 25 2 2" xfId="3778"/>
    <cellStyle name="Notas 25 3" xfId="3063"/>
    <cellStyle name="Notas 26" xfId="780"/>
    <cellStyle name="Notas 26 2" xfId="1479"/>
    <cellStyle name="Notas 26 2 2" xfId="3799"/>
    <cellStyle name="Notas 26 3" xfId="3084"/>
    <cellStyle name="Notas 27" xfId="803"/>
    <cellStyle name="Notas 27 2" xfId="1502"/>
    <cellStyle name="Notas 27 2 2" xfId="3822"/>
    <cellStyle name="Notas 27 3" xfId="3107"/>
    <cellStyle name="Notas 28" xfId="824"/>
    <cellStyle name="Notas 28 2" xfId="1523"/>
    <cellStyle name="Notas 28 2 2" xfId="3843"/>
    <cellStyle name="Notas 28 3" xfId="3128"/>
    <cellStyle name="Notas 29" xfId="846"/>
    <cellStyle name="Notas 29 2" xfId="1545"/>
    <cellStyle name="Notas 29 2 2" xfId="3865"/>
    <cellStyle name="Notas 29 3" xfId="3150"/>
    <cellStyle name="Notas 3" xfId="240"/>
    <cellStyle name="Notas 3 2" xfId="1093"/>
    <cellStyle name="Notas 3 2 2" xfId="3399"/>
    <cellStyle name="Notas 3 3" xfId="2683"/>
    <cellStyle name="Notas 30" xfId="866"/>
    <cellStyle name="Notas 30 2" xfId="1565"/>
    <cellStyle name="Notas 30 2 2" xfId="3885"/>
    <cellStyle name="Notas 30 3" xfId="3170"/>
    <cellStyle name="Notas 31" xfId="888"/>
    <cellStyle name="Notas 31 2" xfId="1587"/>
    <cellStyle name="Notas 31 2 2" xfId="3907"/>
    <cellStyle name="Notas 31 3" xfId="3192"/>
    <cellStyle name="Notas 32" xfId="911"/>
    <cellStyle name="Notas 32 2" xfId="1610"/>
    <cellStyle name="Notas 32 2 2" xfId="3930"/>
    <cellStyle name="Notas 32 3" xfId="3215"/>
    <cellStyle name="Notas 33" xfId="929"/>
    <cellStyle name="Notas 33 2" xfId="1628"/>
    <cellStyle name="Notas 33 2 2" xfId="3948"/>
    <cellStyle name="Notas 33 3" xfId="3233"/>
    <cellStyle name="Notas 34" xfId="946"/>
    <cellStyle name="Notas 34 2" xfId="1645"/>
    <cellStyle name="Notas 34 2 2" xfId="3965"/>
    <cellStyle name="Notas 34 3" xfId="3250"/>
    <cellStyle name="Notas 35" xfId="967"/>
    <cellStyle name="Notas 35 2" xfId="1667"/>
    <cellStyle name="Notas 35 2 2" xfId="3987"/>
    <cellStyle name="Notas 35 3" xfId="3271"/>
    <cellStyle name="Notas 36" xfId="984"/>
    <cellStyle name="Notas 36 2" xfId="1684"/>
    <cellStyle name="Notas 36 2 2" xfId="4005"/>
    <cellStyle name="Notas 36 3" xfId="3290"/>
    <cellStyle name="Notas 37" xfId="1002"/>
    <cellStyle name="Notas 37 2" xfId="1702"/>
    <cellStyle name="Notas 37 2 2" xfId="4023"/>
    <cellStyle name="Notas 37 3" xfId="3308"/>
    <cellStyle name="Notas 38" xfId="1022"/>
    <cellStyle name="Notas 38 2" xfId="1722"/>
    <cellStyle name="Notas 38 2 2" xfId="4043"/>
    <cellStyle name="Notas 38 3" xfId="3328"/>
    <cellStyle name="Notas 39" xfId="1042"/>
    <cellStyle name="Notas 39 2" xfId="1742"/>
    <cellStyle name="Notas 39 2 2" xfId="4063"/>
    <cellStyle name="Notas 39 3" xfId="3348"/>
    <cellStyle name="Notas 4" xfId="241"/>
    <cellStyle name="Notas 4 2" xfId="1094"/>
    <cellStyle name="Notas 4 2 2" xfId="3412"/>
    <cellStyle name="Notas 4 3" xfId="2696"/>
    <cellStyle name="Notas 40" xfId="1062"/>
    <cellStyle name="Notas 40 2" xfId="3368"/>
    <cellStyle name="Notas 41" xfId="1761"/>
    <cellStyle name="Notas 41 2" xfId="4082"/>
    <cellStyle name="Notas 42" xfId="1782"/>
    <cellStyle name="Notas 42 2" xfId="4103"/>
    <cellStyle name="Notas 43" xfId="1805"/>
    <cellStyle name="Notas 43 2" xfId="4126"/>
    <cellStyle name="Notas 44" xfId="1823"/>
    <cellStyle name="Notas 44 2" xfId="4144"/>
    <cellStyle name="Notas 45" xfId="1839"/>
    <cellStyle name="Notas 45 2" xfId="4160"/>
    <cellStyle name="Notas 46" xfId="1857"/>
    <cellStyle name="Notas 46 2" xfId="4178"/>
    <cellStyle name="Notas 47" xfId="1878"/>
    <cellStyle name="Notas 47 2" xfId="4199"/>
    <cellStyle name="Notas 48" xfId="1898"/>
    <cellStyle name="Notas 48 2" xfId="4219"/>
    <cellStyle name="Notas 49" xfId="1911"/>
    <cellStyle name="Notas 49 2" xfId="4232"/>
    <cellStyle name="Notas 5" xfId="242"/>
    <cellStyle name="Notas 5 2" xfId="1107"/>
    <cellStyle name="Notas 5 2 2" xfId="3425"/>
    <cellStyle name="Notas 5 3" xfId="2709"/>
    <cellStyle name="Notas 50" xfId="1926"/>
    <cellStyle name="Notas 50 2" xfId="4247"/>
    <cellStyle name="Notas 51" xfId="1944"/>
    <cellStyle name="Notas 51 2" xfId="4265"/>
    <cellStyle name="Notas 52" xfId="1969"/>
    <cellStyle name="Notas 52 2" xfId="4290"/>
    <cellStyle name="Notas 53" xfId="1997"/>
    <cellStyle name="Notas 53 2" xfId="4318"/>
    <cellStyle name="Notas 54" xfId="2012"/>
    <cellStyle name="Notas 54 2" xfId="4333"/>
    <cellStyle name="Notas 55" xfId="2027"/>
    <cellStyle name="Notas 55 2" xfId="4348"/>
    <cellStyle name="Notas 56" xfId="2044"/>
    <cellStyle name="Notas 56 2" xfId="4365"/>
    <cellStyle name="Notas 57" xfId="2066"/>
    <cellStyle name="Notas 57 2" xfId="4387"/>
    <cellStyle name="Notas 58" xfId="2590"/>
    <cellStyle name="Notas 58 2" xfId="4408"/>
    <cellStyle name="Notas 59" xfId="2605"/>
    <cellStyle name="Notas 59 2" xfId="4423"/>
    <cellStyle name="Notas 6" xfId="243"/>
    <cellStyle name="Notas 6 2" xfId="1120"/>
    <cellStyle name="Notas 6 2 2" xfId="3438"/>
    <cellStyle name="Notas 6 3" xfId="2722"/>
    <cellStyle name="Notas 6 4" xfId="425"/>
    <cellStyle name="Notas 60" xfId="2622"/>
    <cellStyle name="Notas 60 2" xfId="4440"/>
    <cellStyle name="Notas 61" xfId="2639"/>
    <cellStyle name="Notas 61 2" xfId="4457"/>
    <cellStyle name="Notas 62" xfId="2655"/>
    <cellStyle name="Notas 62 2" xfId="4473"/>
    <cellStyle name="Notas 7" xfId="305"/>
    <cellStyle name="Notas 7 2" xfId="1133"/>
    <cellStyle name="Notas 7 2 2" xfId="3451"/>
    <cellStyle name="Notas 7 3" xfId="2735"/>
    <cellStyle name="Notas 8" xfId="450"/>
    <cellStyle name="Notas 8 2" xfId="1146"/>
    <cellStyle name="Notas 8 2 2" xfId="3465"/>
    <cellStyle name="Notas 8 3" xfId="2749"/>
    <cellStyle name="Notas 9" xfId="463"/>
    <cellStyle name="Notas 9 2" xfId="1159"/>
    <cellStyle name="Notas 9 2 2" xfId="3478"/>
    <cellStyle name="Notas 9 3" xfId="2762"/>
    <cellStyle name="Percent" xfId="4554"/>
    <cellStyle name="Porcentaje" xfId="307" builtinId="5"/>
    <cellStyle name="Porcentaje 2" xfId="53"/>
    <cellStyle name="Porcentaje 2 2" xfId="295"/>
    <cellStyle name="Porcentaje 2 2 2" xfId="326"/>
    <cellStyle name="Porcentaje 2 2 3" xfId="411"/>
    <cellStyle name="Porcentaje 2 3" xfId="244"/>
    <cellStyle name="Porcentaje 2 3 2" xfId="4555"/>
    <cellStyle name="Porcentaje 2 4" xfId="115"/>
    <cellStyle name="Porcentaje 3" xfId="116"/>
    <cellStyle name="Porcentaje 3 2" xfId="296"/>
    <cellStyle name="Porcentaje 3 2 2" xfId="338"/>
    <cellStyle name="Porcentaje 3 2 2 2" xfId="413"/>
    <cellStyle name="Porcentaje 3 2 2 3" xfId="414"/>
    <cellStyle name="Porcentaje 3 2 2 4" xfId="412"/>
    <cellStyle name="Porcentaje 3 2 3" xfId="415"/>
    <cellStyle name="Porcentaje 3 3" xfId="266"/>
    <cellStyle name="Porcentaje 3 3 2" xfId="3286"/>
    <cellStyle name="Porcentaje 3 4" xfId="317"/>
    <cellStyle name="Porcentaje 3 5" xfId="416"/>
    <cellStyle name="Porcentaje 4" xfId="319"/>
    <cellStyle name="Porcentaje 4 2" xfId="333"/>
    <cellStyle name="Porcentaje 4 3" xfId="340"/>
    <cellStyle name="Porcentaje 5" xfId="322"/>
    <cellStyle name="Porcentaje 5 2" xfId="343"/>
    <cellStyle name="Porcentual 2" xfId="4556"/>
    <cellStyle name="Porcentual 2 2" xfId="4557"/>
    <cellStyle name="Porcentual 3" xfId="4558"/>
    <cellStyle name="Salida" xfId="15" builtinId="21" customBuiltin="1"/>
    <cellStyle name="Salida 2" xfId="102"/>
    <cellStyle name="Salida 2 2" xfId="246"/>
    <cellStyle name="Salida 2 3" xfId="285"/>
    <cellStyle name="Salida 2 4" xfId="245"/>
    <cellStyle name="Salida 3" xfId="247"/>
    <cellStyle name="TableStyleLight1" xfId="117"/>
    <cellStyle name="Texto de advertencia" xfId="19" builtinId="11" customBuiltin="1"/>
    <cellStyle name="Texto de advertencia 2" xfId="103"/>
    <cellStyle name="Texto de advertencia 2 2" xfId="248"/>
    <cellStyle name="Texto explicativo" xfId="21" builtinId="53" customBuiltin="1"/>
    <cellStyle name="Texto explicativo 2" xfId="104"/>
    <cellStyle name="Texto explicativo 2 2" xfId="249"/>
    <cellStyle name="Título" xfId="6" builtinId="15" customBuiltin="1"/>
    <cellStyle name="Título 1" xfId="7" builtinId="16" customBuiltin="1"/>
    <cellStyle name="Título 1 2" xfId="105"/>
    <cellStyle name="Título 1 2 2" xfId="251"/>
    <cellStyle name="Título 1 2 3" xfId="286"/>
    <cellStyle name="Título 1 2 4" xfId="250"/>
    <cellStyle name="Título 1 3" xfId="252"/>
    <cellStyle name="Título 2" xfId="8" builtinId="17" customBuiltin="1"/>
    <cellStyle name="Título 2 2" xfId="106"/>
    <cellStyle name="Título 2 2 2" xfId="254"/>
    <cellStyle name="Título 2 2 3" xfId="287"/>
    <cellStyle name="Título 2 2 4" xfId="253"/>
    <cellStyle name="Título 2 3" xfId="255"/>
    <cellStyle name="Título 3" xfId="9" builtinId="18" customBuiltin="1"/>
    <cellStyle name="Título 3 2" xfId="107"/>
    <cellStyle name="Título 3 2 2" xfId="257"/>
    <cellStyle name="Título 3 2 3" xfId="288"/>
    <cellStyle name="Título 3 2 4" xfId="256"/>
    <cellStyle name="Título 3 3" xfId="258"/>
    <cellStyle name="Título 4" xfId="108"/>
    <cellStyle name="Título 4 2" xfId="260"/>
    <cellStyle name="Título 4 3" xfId="289"/>
    <cellStyle name="Título 4 4" xfId="259"/>
    <cellStyle name="Título 5" xfId="261"/>
    <cellStyle name="Total" xfId="22" builtinId="25" customBuiltin="1"/>
    <cellStyle name="Total 2" xfId="109"/>
    <cellStyle name="Total 2 2" xfId="263"/>
    <cellStyle name="Total 2 3" xfId="290"/>
    <cellStyle name="Total 2 4" xfId="262"/>
    <cellStyle name="Total 3" xfId="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rcotec.cl/" TargetMode="External"/><Relationship Id="rId1" Type="http://schemas.openxmlformats.org/officeDocument/2006/relationships/hyperlink" Target="http://www.sercotec.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80" zoomScaleNormal="80" workbookViewId="0">
      <pane xSplit="1" ySplit="1" topLeftCell="G2" activePane="bottomRight" state="frozenSplit"/>
      <selection pane="topRight" activeCell="B1" sqref="B1"/>
      <selection pane="bottomLeft" activeCell="A2" sqref="A2"/>
      <selection pane="bottomRight" activeCell="O2" sqref="O2"/>
    </sheetView>
  </sheetViews>
  <sheetFormatPr baseColWidth="10" defaultColWidth="11.42578125" defaultRowHeight="86.25" customHeight="1"/>
  <cols>
    <col min="1" max="1" width="17.42578125" style="5" customWidth="1"/>
    <col min="2" max="2" width="9.140625" style="5" customWidth="1"/>
    <col min="3" max="3" width="14" style="5" customWidth="1"/>
    <col min="4" max="4" width="18.28515625" style="5" customWidth="1"/>
    <col min="5" max="5" width="74.28515625" style="5" customWidth="1"/>
    <col min="6" max="6" width="16.28515625" style="5" bestFit="1" customWidth="1"/>
    <col min="7" max="7" width="15" style="5" customWidth="1"/>
    <col min="8" max="8" width="11.42578125" style="5" customWidth="1"/>
    <col min="9" max="9" width="14.28515625" style="5" customWidth="1"/>
    <col min="10" max="10" width="29.28515625" style="5" customWidth="1"/>
    <col min="11" max="11" width="22.140625" style="5" customWidth="1"/>
    <col min="12" max="12" width="60.7109375" style="5" customWidth="1"/>
    <col min="13" max="13" width="19.140625" style="5" customWidth="1"/>
    <col min="14" max="14" width="20.85546875" style="5" customWidth="1"/>
    <col min="15" max="16384" width="11.42578125" style="5"/>
  </cols>
  <sheetData>
    <row r="1" spans="1:14" ht="86.25" customHeight="1">
      <c r="A1" s="4" t="s">
        <v>126</v>
      </c>
      <c r="B1" s="4" t="s">
        <v>12</v>
      </c>
      <c r="C1" s="4" t="s">
        <v>13</v>
      </c>
      <c r="D1" s="4" t="s">
        <v>14</v>
      </c>
      <c r="E1" s="4" t="s">
        <v>127</v>
      </c>
      <c r="F1" s="4" t="s">
        <v>15</v>
      </c>
      <c r="G1" s="4" t="s">
        <v>16</v>
      </c>
      <c r="H1" s="4" t="s">
        <v>17</v>
      </c>
      <c r="I1" s="4" t="s">
        <v>128</v>
      </c>
      <c r="J1" s="4" t="s">
        <v>130</v>
      </c>
      <c r="K1" s="4" t="s">
        <v>18</v>
      </c>
      <c r="L1" s="4" t="s">
        <v>129</v>
      </c>
      <c r="M1" s="4" t="s">
        <v>19</v>
      </c>
      <c r="N1" s="4" t="s">
        <v>28</v>
      </c>
    </row>
    <row r="2" spans="1:14" ht="409.5">
      <c r="A2" s="6" t="s">
        <v>24</v>
      </c>
      <c r="B2" s="7" t="s">
        <v>0</v>
      </c>
      <c r="C2" s="12">
        <v>41969</v>
      </c>
      <c r="D2" s="8" t="s">
        <v>20</v>
      </c>
      <c r="E2" s="7" t="s">
        <v>25</v>
      </c>
      <c r="F2" s="7" t="s">
        <v>23</v>
      </c>
      <c r="G2" s="10" t="s">
        <v>147</v>
      </c>
      <c r="H2" s="7" t="s">
        <v>21</v>
      </c>
      <c r="I2" s="81" t="s">
        <v>149</v>
      </c>
      <c r="J2" s="7" t="s">
        <v>26</v>
      </c>
      <c r="K2" s="7" t="s">
        <v>145</v>
      </c>
      <c r="L2" s="7" t="s">
        <v>146</v>
      </c>
      <c r="M2" s="9" t="s">
        <v>22</v>
      </c>
      <c r="N2" s="9" t="s">
        <v>27</v>
      </c>
    </row>
  </sheetData>
  <hyperlinks>
    <hyperlink ref="D2" r:id="rId1"/>
    <hyperlink ref="N2" location="Crece!A1" display="Nómina de beneficiarios Crece"/>
    <hyperlink ref="M2"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6"/>
  <sheetViews>
    <sheetView zoomScale="71" zoomScaleNormal="71" workbookViewId="0">
      <pane xSplit="4" ySplit="4" topLeftCell="H5" activePane="bottomRight" state="frozen"/>
      <selection pane="topRight" activeCell="E1" sqref="E1"/>
      <selection pane="bottomLeft" activeCell="A5" sqref="A5"/>
      <selection pane="bottomRight" activeCell="J18" sqref="J18"/>
    </sheetView>
  </sheetViews>
  <sheetFormatPr baseColWidth="10" defaultRowHeight="15"/>
  <cols>
    <col min="1" max="1" width="4.42578125" style="3" bestFit="1" customWidth="1"/>
    <col min="2" max="2" width="87.85546875" style="3" customWidth="1"/>
    <col min="3" max="3" width="25" style="3" customWidth="1"/>
    <col min="4" max="4" width="22.42578125" style="3" customWidth="1"/>
    <col min="5" max="5" width="34.140625" style="3" customWidth="1"/>
    <col min="6" max="6" width="25" style="3" customWidth="1"/>
    <col min="7" max="7" width="19.140625" style="3" customWidth="1"/>
    <col min="8" max="8" width="16.7109375" style="3" customWidth="1"/>
    <col min="9" max="9" width="26.7109375" style="32" customWidth="1"/>
    <col min="10" max="13" width="24.85546875" style="21" customWidth="1"/>
    <col min="14" max="14" width="26.7109375" style="32" customWidth="1"/>
    <col min="15" max="17" width="24.85546875" style="21" customWidth="1"/>
    <col min="18" max="18" width="22" style="3" bestFit="1" customWidth="1"/>
    <col min="19" max="19" width="26.28515625" style="3" bestFit="1" customWidth="1"/>
    <col min="20" max="20" width="29.5703125" style="3" customWidth="1"/>
    <col min="21" max="16384" width="11.42578125" style="3"/>
  </cols>
  <sheetData>
    <row r="1" spans="1:20" ht="26.25" customHeight="1">
      <c r="A1" s="82" t="s">
        <v>3</v>
      </c>
      <c r="B1" s="13" t="s">
        <v>10</v>
      </c>
      <c r="C1" s="84" t="s">
        <v>140</v>
      </c>
      <c r="D1" s="84"/>
      <c r="E1" s="84"/>
      <c r="F1" s="84"/>
      <c r="G1" s="84"/>
      <c r="H1" s="84"/>
      <c r="I1" s="84"/>
      <c r="J1" s="84"/>
      <c r="K1" s="84"/>
      <c r="L1" s="84"/>
      <c r="M1" s="84"/>
      <c r="N1" s="84"/>
      <c r="O1" s="84"/>
      <c r="P1" s="84"/>
      <c r="Q1" s="84"/>
      <c r="R1" s="84"/>
      <c r="S1" s="84"/>
      <c r="T1" s="84"/>
    </row>
    <row r="2" spans="1:20" ht="22.5" customHeight="1">
      <c r="A2" s="82"/>
      <c r="B2" s="13" t="s">
        <v>2</v>
      </c>
      <c r="C2" s="85" t="s">
        <v>141</v>
      </c>
      <c r="D2" s="85"/>
      <c r="E2" s="85"/>
      <c r="F2" s="85"/>
      <c r="G2" s="85"/>
      <c r="H2" s="85"/>
      <c r="I2" s="85"/>
      <c r="J2" s="85"/>
      <c r="K2" s="85"/>
      <c r="L2" s="85"/>
      <c r="M2" s="85"/>
      <c r="N2" s="85"/>
      <c r="O2" s="85"/>
      <c r="P2" s="85"/>
      <c r="Q2" s="85"/>
      <c r="R2" s="85"/>
      <c r="S2" s="85"/>
      <c r="T2" s="85"/>
    </row>
    <row r="3" spans="1:20" ht="30" customHeight="1" thickBot="1">
      <c r="A3" s="82"/>
      <c r="B3" s="55" t="s">
        <v>4</v>
      </c>
      <c r="C3" s="85" t="s">
        <v>150</v>
      </c>
      <c r="D3" s="85"/>
      <c r="E3" s="85"/>
      <c r="F3" s="85"/>
      <c r="G3" s="85"/>
      <c r="H3" s="85"/>
      <c r="I3" s="85"/>
      <c r="J3" s="85"/>
      <c r="K3" s="85"/>
      <c r="L3" s="85"/>
      <c r="M3" s="85"/>
      <c r="N3" s="85"/>
      <c r="O3" s="85"/>
      <c r="P3" s="85"/>
      <c r="Q3" s="85"/>
      <c r="R3" s="85"/>
      <c r="S3" s="85"/>
      <c r="T3" s="85"/>
    </row>
    <row r="4" spans="1:20" ht="101.25" customHeight="1" thickBot="1">
      <c r="A4" s="83"/>
      <c r="B4" s="49" t="s">
        <v>5</v>
      </c>
      <c r="C4" s="58" t="s">
        <v>1</v>
      </c>
      <c r="D4" s="58" t="s">
        <v>125</v>
      </c>
      <c r="E4" s="58" t="s">
        <v>6</v>
      </c>
      <c r="F4" s="59" t="s">
        <v>7</v>
      </c>
      <c r="G4" s="60" t="s">
        <v>8</v>
      </c>
      <c r="H4" s="61" t="s">
        <v>9</v>
      </c>
      <c r="I4" s="60" t="s">
        <v>122</v>
      </c>
      <c r="J4" s="58" t="s">
        <v>102</v>
      </c>
      <c r="K4" s="58" t="s">
        <v>103</v>
      </c>
      <c r="L4" s="59" t="s">
        <v>115</v>
      </c>
      <c r="M4" s="58" t="s">
        <v>148</v>
      </c>
      <c r="N4" s="62" t="s">
        <v>123</v>
      </c>
      <c r="O4" s="58" t="s">
        <v>103</v>
      </c>
      <c r="P4" s="59" t="s">
        <v>115</v>
      </c>
      <c r="Q4" s="78" t="s">
        <v>148</v>
      </c>
      <c r="R4" s="62" t="s">
        <v>144</v>
      </c>
      <c r="S4" s="58" t="s">
        <v>115</v>
      </c>
      <c r="T4" s="58" t="s">
        <v>148</v>
      </c>
    </row>
    <row r="5" spans="1:20" ht="15" customHeight="1">
      <c r="A5" s="18">
        <v>1</v>
      </c>
      <c r="B5" s="69" t="s">
        <v>67</v>
      </c>
      <c r="C5" s="56" t="s">
        <v>82</v>
      </c>
      <c r="D5" s="56" t="s">
        <v>64</v>
      </c>
      <c r="E5" s="57" t="s">
        <v>62</v>
      </c>
      <c r="F5" s="57" t="s">
        <v>63</v>
      </c>
      <c r="G5" s="45">
        <v>42254</v>
      </c>
      <c r="H5" s="46" t="s">
        <v>0</v>
      </c>
      <c r="I5" s="47">
        <v>205655999</v>
      </c>
      <c r="J5" s="48">
        <v>112647800</v>
      </c>
      <c r="K5" s="48">
        <v>93008199</v>
      </c>
      <c r="L5" s="50">
        <v>0</v>
      </c>
      <c r="M5" s="71">
        <f>+I5-(J5+K5+L5)</f>
        <v>0</v>
      </c>
      <c r="N5" s="47">
        <f>224389000-2341232</f>
        <v>222047768</v>
      </c>
      <c r="O5" s="48">
        <v>182995000</v>
      </c>
      <c r="P5" s="72">
        <f>41394000-2341232</f>
        <v>39052768</v>
      </c>
      <c r="Q5" s="30">
        <f>+N5-(O5+P5)</f>
        <v>0</v>
      </c>
      <c r="R5" s="76">
        <v>230861000</v>
      </c>
      <c r="S5" s="48">
        <v>183755000</v>
      </c>
      <c r="T5" s="48">
        <f>+R5-S5</f>
        <v>47106000</v>
      </c>
    </row>
    <row r="6" spans="1:20" ht="15" customHeight="1">
      <c r="A6" s="18">
        <v>2</v>
      </c>
      <c r="B6" s="19" t="s">
        <v>68</v>
      </c>
      <c r="C6" s="2" t="s">
        <v>83</v>
      </c>
      <c r="D6" s="2" t="s">
        <v>65</v>
      </c>
      <c r="E6" s="2" t="s">
        <v>62</v>
      </c>
      <c r="F6" s="2" t="s">
        <v>63</v>
      </c>
      <c r="G6" s="16">
        <v>42241</v>
      </c>
      <c r="H6" s="33" t="s">
        <v>0</v>
      </c>
      <c r="I6" s="36">
        <v>291399809</v>
      </c>
      <c r="J6" s="30">
        <v>181069211</v>
      </c>
      <c r="K6" s="30">
        <v>110330598</v>
      </c>
      <c r="L6" s="30">
        <v>0</v>
      </c>
      <c r="M6" s="71">
        <f t="shared" ref="M6:M59" si="0">+I6-(J6+K6+L6)</f>
        <v>0</v>
      </c>
      <c r="N6" s="36">
        <v>263282575</v>
      </c>
      <c r="O6" s="30">
        <v>132147140</v>
      </c>
      <c r="P6" s="73">
        <v>131135435</v>
      </c>
      <c r="Q6" s="30">
        <f t="shared" ref="Q6:Q59" si="1">+N6-(O6+P6)</f>
        <v>0</v>
      </c>
      <c r="R6" s="76">
        <v>286088254.19999999</v>
      </c>
      <c r="S6" s="48">
        <f>127494661+5495875</f>
        <v>132990536</v>
      </c>
      <c r="T6" s="48">
        <f t="shared" ref="T6:T59" si="2">+R6-S6</f>
        <v>153097718.19999999</v>
      </c>
    </row>
    <row r="7" spans="1:20" ht="15.75" customHeight="1">
      <c r="A7" s="18">
        <v>3</v>
      </c>
      <c r="B7" s="69" t="s">
        <v>75</v>
      </c>
      <c r="C7" s="25" t="s">
        <v>83</v>
      </c>
      <c r="D7" s="23" t="s">
        <v>96</v>
      </c>
      <c r="E7" s="25" t="s">
        <v>62</v>
      </c>
      <c r="F7" s="25" t="s">
        <v>63</v>
      </c>
      <c r="G7" s="26">
        <v>42347</v>
      </c>
      <c r="H7" s="34" t="s">
        <v>0</v>
      </c>
      <c r="I7" s="36">
        <v>214571817</v>
      </c>
      <c r="J7" s="30">
        <v>106622441</v>
      </c>
      <c r="K7" s="30">
        <v>96693004</v>
      </c>
      <c r="L7" s="30">
        <v>11256372</v>
      </c>
      <c r="M7" s="71">
        <f t="shared" si="0"/>
        <v>0</v>
      </c>
      <c r="N7" s="36">
        <f>190320677+10204334</f>
        <v>200525011</v>
      </c>
      <c r="O7" s="30">
        <v>98245996</v>
      </c>
      <c r="P7" s="74">
        <v>92074681</v>
      </c>
      <c r="Q7" s="30">
        <f t="shared" si="1"/>
        <v>10204334</v>
      </c>
      <c r="R7" s="76">
        <v>216371121</v>
      </c>
      <c r="S7" s="48">
        <v>97759601</v>
      </c>
      <c r="T7" s="48">
        <v>113723541</v>
      </c>
    </row>
    <row r="8" spans="1:20" ht="15" customHeight="1">
      <c r="A8" s="18">
        <v>4</v>
      </c>
      <c r="B8" s="19" t="s">
        <v>142</v>
      </c>
      <c r="C8" s="17" t="s">
        <v>49</v>
      </c>
      <c r="D8" s="17" t="s">
        <v>50</v>
      </c>
      <c r="E8" s="2" t="s">
        <v>62</v>
      </c>
      <c r="F8" s="2" t="s">
        <v>63</v>
      </c>
      <c r="G8" s="16">
        <v>42191</v>
      </c>
      <c r="H8" s="33" t="s">
        <v>0</v>
      </c>
      <c r="I8" s="36">
        <v>322702452</v>
      </c>
      <c r="J8" s="30">
        <v>185016467</v>
      </c>
      <c r="K8" s="30">
        <v>137685985</v>
      </c>
      <c r="L8" s="30">
        <v>0</v>
      </c>
      <c r="M8" s="71">
        <f t="shared" si="0"/>
        <v>0</v>
      </c>
      <c r="N8" s="36">
        <v>0</v>
      </c>
      <c r="O8" s="30"/>
      <c r="P8" s="73">
        <v>0</v>
      </c>
      <c r="Q8" s="30">
        <f t="shared" si="1"/>
        <v>0</v>
      </c>
      <c r="R8" s="76">
        <v>0</v>
      </c>
      <c r="S8" s="48">
        <v>0</v>
      </c>
      <c r="T8" s="48">
        <f t="shared" si="2"/>
        <v>0</v>
      </c>
    </row>
    <row r="9" spans="1:20" ht="15" customHeight="1">
      <c r="A9" s="18">
        <v>4</v>
      </c>
      <c r="B9" s="19" t="s">
        <v>139</v>
      </c>
      <c r="C9" s="17" t="s">
        <v>49</v>
      </c>
      <c r="D9" s="17" t="s">
        <v>50</v>
      </c>
      <c r="E9" s="23" t="s">
        <v>138</v>
      </c>
      <c r="F9" s="23" t="s">
        <v>138</v>
      </c>
      <c r="G9" s="16">
        <v>42605</v>
      </c>
      <c r="H9" s="33">
        <v>9355</v>
      </c>
      <c r="I9" s="36">
        <v>143623270</v>
      </c>
      <c r="J9" s="30">
        <v>0</v>
      </c>
      <c r="K9" s="30">
        <v>130022476</v>
      </c>
      <c r="L9" s="30">
        <v>13600794</v>
      </c>
      <c r="M9" s="71">
        <f t="shared" si="0"/>
        <v>0</v>
      </c>
      <c r="N9" s="36">
        <v>0</v>
      </c>
      <c r="O9" s="30">
        <v>0</v>
      </c>
      <c r="P9" s="73">
        <v>0</v>
      </c>
      <c r="Q9" s="30">
        <f t="shared" si="1"/>
        <v>0</v>
      </c>
      <c r="R9" s="76">
        <v>0</v>
      </c>
      <c r="S9" s="48">
        <v>0</v>
      </c>
      <c r="T9" s="48">
        <f t="shared" si="2"/>
        <v>0</v>
      </c>
    </row>
    <row r="10" spans="1:20" s="27" customFormat="1">
      <c r="A10" s="51">
        <v>4</v>
      </c>
      <c r="B10" s="69" t="s">
        <v>143</v>
      </c>
      <c r="C10" s="29" t="s">
        <v>49</v>
      </c>
      <c r="D10" s="17" t="s">
        <v>50</v>
      </c>
      <c r="E10" s="25" t="s">
        <v>62</v>
      </c>
      <c r="F10" s="25" t="s">
        <v>63</v>
      </c>
      <c r="G10" s="52">
        <v>42775</v>
      </c>
      <c r="H10" s="53" t="s">
        <v>0</v>
      </c>
      <c r="I10" s="36">
        <v>276979585.48333335</v>
      </c>
      <c r="J10" s="54">
        <v>0</v>
      </c>
      <c r="K10" s="54">
        <v>0</v>
      </c>
      <c r="L10" s="30">
        <v>235781480</v>
      </c>
      <c r="M10" s="71">
        <v>25179962</v>
      </c>
      <c r="N10" s="36">
        <v>276487701</v>
      </c>
      <c r="O10" s="54">
        <v>0</v>
      </c>
      <c r="P10" s="74">
        <v>0</v>
      </c>
      <c r="Q10" s="30">
        <v>270203890</v>
      </c>
      <c r="R10" s="76">
        <v>0</v>
      </c>
      <c r="S10" s="48">
        <v>0</v>
      </c>
      <c r="T10" s="48">
        <f t="shared" si="2"/>
        <v>0</v>
      </c>
    </row>
    <row r="11" spans="1:20" ht="15.75" customHeight="1">
      <c r="A11" s="18">
        <v>5</v>
      </c>
      <c r="B11" s="19" t="s">
        <v>101</v>
      </c>
      <c r="C11" s="29" t="s">
        <v>49</v>
      </c>
      <c r="D11" s="23" t="s">
        <v>92</v>
      </c>
      <c r="E11" s="25" t="s">
        <v>62</v>
      </c>
      <c r="F11" s="25" t="s">
        <v>63</v>
      </c>
      <c r="G11" s="24">
        <v>42332</v>
      </c>
      <c r="H11" s="34" t="s">
        <v>0</v>
      </c>
      <c r="I11" s="36">
        <v>193801898</v>
      </c>
      <c r="J11" s="30">
        <v>99894578</v>
      </c>
      <c r="K11" s="30">
        <v>81728093</v>
      </c>
      <c r="L11" s="30">
        <v>12179227</v>
      </c>
      <c r="M11" s="71">
        <f t="shared" si="0"/>
        <v>0</v>
      </c>
      <c r="N11" s="36">
        <f>212993039-4770217+2009992-28407775</f>
        <v>181825039</v>
      </c>
      <c r="O11" s="30">
        <v>95404347</v>
      </c>
      <c r="P11" s="73">
        <f>117588692-4770217+2009992-28407775</f>
        <v>86420692</v>
      </c>
      <c r="Q11" s="30">
        <f t="shared" si="1"/>
        <v>0</v>
      </c>
      <c r="R11" s="76">
        <v>0</v>
      </c>
      <c r="S11" s="48">
        <v>0</v>
      </c>
      <c r="T11" s="48">
        <f t="shared" si="2"/>
        <v>0</v>
      </c>
    </row>
    <row r="12" spans="1:20" ht="15.75" customHeight="1">
      <c r="A12" s="18">
        <v>5</v>
      </c>
      <c r="B12" s="69" t="s">
        <v>143</v>
      </c>
      <c r="C12" s="29" t="s">
        <v>49</v>
      </c>
      <c r="D12" s="23" t="s">
        <v>92</v>
      </c>
      <c r="E12" s="25" t="s">
        <v>62</v>
      </c>
      <c r="F12" s="25" t="s">
        <v>63</v>
      </c>
      <c r="G12" s="24">
        <v>43049</v>
      </c>
      <c r="H12" s="34" t="s">
        <v>0</v>
      </c>
      <c r="I12" s="36">
        <f>212955701+24841000</f>
        <v>237796701</v>
      </c>
      <c r="J12" s="30">
        <v>0</v>
      </c>
      <c r="K12" s="30">
        <v>0</v>
      </c>
      <c r="L12" s="30">
        <f>24841000+135517264</f>
        <v>160358264</v>
      </c>
      <c r="M12" s="71">
        <v>8039434</v>
      </c>
      <c r="N12" s="36">
        <v>0</v>
      </c>
      <c r="O12" s="30">
        <v>0</v>
      </c>
      <c r="P12" s="73">
        <v>0</v>
      </c>
      <c r="Q12" s="30">
        <f t="shared" si="1"/>
        <v>0</v>
      </c>
      <c r="R12" s="76">
        <v>0</v>
      </c>
      <c r="S12" s="48">
        <v>0</v>
      </c>
      <c r="T12" s="48">
        <f t="shared" si="2"/>
        <v>0</v>
      </c>
    </row>
    <row r="13" spans="1:20" ht="15" customHeight="1">
      <c r="A13" s="18">
        <v>6</v>
      </c>
      <c r="B13" s="19" t="s">
        <v>42</v>
      </c>
      <c r="C13" s="17" t="s">
        <v>29</v>
      </c>
      <c r="D13" s="17" t="s">
        <v>30</v>
      </c>
      <c r="E13" s="2" t="s">
        <v>62</v>
      </c>
      <c r="F13" s="2" t="s">
        <v>63</v>
      </c>
      <c r="G13" s="16">
        <v>42191</v>
      </c>
      <c r="H13" s="33" t="s">
        <v>0</v>
      </c>
      <c r="I13" s="36">
        <v>223387784</v>
      </c>
      <c r="J13" s="30">
        <v>137824273</v>
      </c>
      <c r="K13" s="30">
        <v>85563511</v>
      </c>
      <c r="L13" s="30">
        <v>0</v>
      </c>
      <c r="M13" s="71">
        <f t="shared" si="0"/>
        <v>0</v>
      </c>
      <c r="N13" s="36">
        <f>244205880-35896096+12457169</f>
        <v>220766953</v>
      </c>
      <c r="O13" s="30">
        <v>154874299</v>
      </c>
      <c r="P13" s="73">
        <f>89331581-35896096+12457169</f>
        <v>65892654</v>
      </c>
      <c r="Q13" s="30">
        <f t="shared" si="1"/>
        <v>0</v>
      </c>
      <c r="R13" s="76">
        <v>244705879.59999999</v>
      </c>
      <c r="S13" s="48">
        <f>108957218+4500000</f>
        <v>113457218</v>
      </c>
      <c r="T13" s="48">
        <v>130748662</v>
      </c>
    </row>
    <row r="14" spans="1:20">
      <c r="A14" s="18">
        <v>7</v>
      </c>
      <c r="B14" s="19" t="s">
        <v>44</v>
      </c>
      <c r="C14" s="2" t="s">
        <v>29</v>
      </c>
      <c r="D14" s="2" t="s">
        <v>51</v>
      </c>
      <c r="E14" s="2" t="s">
        <v>62</v>
      </c>
      <c r="F14" s="2" t="s">
        <v>63</v>
      </c>
      <c r="G14" s="16">
        <v>42191</v>
      </c>
      <c r="H14" s="33" t="s">
        <v>0</v>
      </c>
      <c r="I14" s="36">
        <f>191541323+4081584</f>
        <v>195622907</v>
      </c>
      <c r="J14" s="30">
        <v>142870233</v>
      </c>
      <c r="K14" s="30">
        <v>35326799</v>
      </c>
      <c r="L14" s="30">
        <v>17425875</v>
      </c>
      <c r="M14" s="71">
        <f t="shared" si="0"/>
        <v>0</v>
      </c>
      <c r="N14" s="36">
        <f>193216532-24510949-6510104</f>
        <v>162195479</v>
      </c>
      <c r="O14" s="30">
        <v>87959947</v>
      </c>
      <c r="P14" s="73">
        <f>105256585-24510949-6510104</f>
        <v>74235532</v>
      </c>
      <c r="Q14" s="30">
        <f t="shared" si="1"/>
        <v>0</v>
      </c>
      <c r="R14" s="76">
        <v>193153144.32067358</v>
      </c>
      <c r="S14" s="48">
        <v>122215642.00000001</v>
      </c>
      <c r="T14" s="48">
        <f t="shared" si="2"/>
        <v>70937502.32067357</v>
      </c>
    </row>
    <row r="15" spans="1:20" ht="15" customHeight="1">
      <c r="A15" s="18">
        <v>8</v>
      </c>
      <c r="B15" s="19" t="s">
        <v>44</v>
      </c>
      <c r="C15" s="25" t="s">
        <v>52</v>
      </c>
      <c r="D15" s="23" t="s">
        <v>116</v>
      </c>
      <c r="E15" s="25" t="s">
        <v>62</v>
      </c>
      <c r="F15" s="25" t="s">
        <v>63</v>
      </c>
      <c r="G15" s="26">
        <v>42724</v>
      </c>
      <c r="H15" s="33" t="s">
        <v>0</v>
      </c>
      <c r="I15" s="36">
        <v>234915366</v>
      </c>
      <c r="J15" s="30">
        <v>0</v>
      </c>
      <c r="K15" s="30">
        <v>218753829</v>
      </c>
      <c r="L15" s="30">
        <f>1187868+1625565+3930163</f>
        <v>6743596</v>
      </c>
      <c r="M15" s="71">
        <f t="shared" si="0"/>
        <v>9417941</v>
      </c>
      <c r="N15" s="47">
        <v>214759212</v>
      </c>
      <c r="O15" s="30">
        <v>0</v>
      </c>
      <c r="P15" s="72">
        <v>135627680</v>
      </c>
      <c r="Q15" s="30">
        <v>74287686</v>
      </c>
      <c r="R15" s="76">
        <v>0</v>
      </c>
      <c r="S15" s="48">
        <v>0</v>
      </c>
      <c r="T15" s="48">
        <f t="shared" si="2"/>
        <v>0</v>
      </c>
    </row>
    <row r="16" spans="1:20" ht="15" customHeight="1">
      <c r="A16" s="18">
        <v>9</v>
      </c>
      <c r="B16" s="19" t="s">
        <v>44</v>
      </c>
      <c r="C16" s="2" t="s">
        <v>52</v>
      </c>
      <c r="D16" s="2" t="s">
        <v>53</v>
      </c>
      <c r="E16" s="2" t="s">
        <v>62</v>
      </c>
      <c r="F16" s="2" t="s">
        <v>63</v>
      </c>
      <c r="G16" s="16">
        <v>42191</v>
      </c>
      <c r="H16" s="33" t="s">
        <v>0</v>
      </c>
      <c r="I16" s="36">
        <v>254934603</v>
      </c>
      <c r="J16" s="30">
        <v>155755016</v>
      </c>
      <c r="K16" s="30">
        <v>99179587</v>
      </c>
      <c r="L16" s="30">
        <v>0</v>
      </c>
      <c r="M16" s="71">
        <f t="shared" si="0"/>
        <v>0</v>
      </c>
      <c r="N16" s="36">
        <f>244138230-8865330-192254</f>
        <v>235080646</v>
      </c>
      <c r="O16" s="30">
        <v>138821786</v>
      </c>
      <c r="P16" s="73">
        <f>105316444-8865330-192254</f>
        <v>96258860</v>
      </c>
      <c r="Q16" s="30">
        <f t="shared" si="1"/>
        <v>0</v>
      </c>
      <c r="R16" s="76">
        <v>244449886.17999998</v>
      </c>
      <c r="S16" s="48">
        <v>110636312.00000001</v>
      </c>
      <c r="T16" s="48">
        <f t="shared" si="2"/>
        <v>133813574.17999996</v>
      </c>
    </row>
    <row r="17" spans="1:20">
      <c r="A17" s="18">
        <v>10</v>
      </c>
      <c r="B17" s="19" t="s">
        <v>44</v>
      </c>
      <c r="C17" s="25" t="s">
        <v>52</v>
      </c>
      <c r="D17" s="23" t="s">
        <v>93</v>
      </c>
      <c r="E17" s="25" t="s">
        <v>62</v>
      </c>
      <c r="F17" s="25" t="s">
        <v>63</v>
      </c>
      <c r="G17" s="26">
        <v>42332</v>
      </c>
      <c r="H17" s="34" t="s">
        <v>0</v>
      </c>
      <c r="I17" s="36">
        <f>202557995+4252966</f>
        <v>206810961</v>
      </c>
      <c r="J17" s="30">
        <v>106469607</v>
      </c>
      <c r="K17" s="30">
        <v>84281788</v>
      </c>
      <c r="L17" s="30">
        <v>16059566</v>
      </c>
      <c r="M17" s="71">
        <f t="shared" si="0"/>
        <v>0</v>
      </c>
      <c r="N17" s="36">
        <f>173531867+14864911</f>
        <v>188396778</v>
      </c>
      <c r="O17" s="30">
        <v>97281717</v>
      </c>
      <c r="P17" s="73">
        <f>800770+19155478+1618406+35269590+2900363+16505543</f>
        <v>76250150</v>
      </c>
      <c r="Q17" s="30">
        <f t="shared" si="1"/>
        <v>14864911</v>
      </c>
      <c r="R17" s="76">
        <v>215220480</v>
      </c>
      <c r="S17" s="48">
        <v>97281718</v>
      </c>
      <c r="T17" s="48">
        <v>113074677</v>
      </c>
    </row>
    <row r="18" spans="1:20" s="27" customFormat="1" ht="15" customHeight="1">
      <c r="A18" s="18">
        <v>11</v>
      </c>
      <c r="B18" s="69" t="s">
        <v>69</v>
      </c>
      <c r="C18" s="25" t="s">
        <v>31</v>
      </c>
      <c r="D18" s="23" t="s">
        <v>134</v>
      </c>
      <c r="E18" s="25" t="s">
        <v>62</v>
      </c>
      <c r="F18" s="25" t="s">
        <v>63</v>
      </c>
      <c r="G18" s="26">
        <v>42788</v>
      </c>
      <c r="H18" s="34" t="s">
        <v>0</v>
      </c>
      <c r="I18" s="36">
        <f>297307916-6102379</f>
        <v>291205537</v>
      </c>
      <c r="J18" s="54">
        <v>0</v>
      </c>
      <c r="K18" s="54">
        <v>0</v>
      </c>
      <c r="L18" s="54">
        <v>277308318</v>
      </c>
      <c r="M18" s="71">
        <f t="shared" si="0"/>
        <v>13897219</v>
      </c>
      <c r="N18" s="36">
        <v>268307491</v>
      </c>
      <c r="O18" s="54">
        <v>0</v>
      </c>
      <c r="P18" s="74">
        <v>0</v>
      </c>
      <c r="Q18" s="30">
        <v>262220997</v>
      </c>
      <c r="R18" s="76">
        <v>0</v>
      </c>
      <c r="S18" s="48">
        <v>0</v>
      </c>
      <c r="T18" s="48">
        <f t="shared" si="2"/>
        <v>0</v>
      </c>
    </row>
    <row r="19" spans="1:20" ht="15" customHeight="1">
      <c r="A19" s="18">
        <v>12</v>
      </c>
      <c r="B19" s="69" t="s">
        <v>69</v>
      </c>
      <c r="C19" s="2" t="s">
        <v>31</v>
      </c>
      <c r="D19" s="2" t="s">
        <v>66</v>
      </c>
      <c r="E19" s="2" t="s">
        <v>62</v>
      </c>
      <c r="F19" s="2" t="s">
        <v>63</v>
      </c>
      <c r="G19" s="16">
        <v>42191</v>
      </c>
      <c r="H19" s="33" t="s">
        <v>0</v>
      </c>
      <c r="I19" s="36">
        <v>284896846</v>
      </c>
      <c r="J19" s="30">
        <v>180645414</v>
      </c>
      <c r="K19" s="30">
        <v>104251432</v>
      </c>
      <c r="L19" s="30">
        <v>0</v>
      </c>
      <c r="M19" s="71">
        <f t="shared" si="0"/>
        <v>0</v>
      </c>
      <c r="N19" s="36">
        <f>285393715-29402342+2651898</f>
        <v>258643271</v>
      </c>
      <c r="O19" s="30">
        <v>129497143</v>
      </c>
      <c r="P19" s="73">
        <f>155896572-29402342+2651898</f>
        <v>129146128</v>
      </c>
      <c r="Q19" s="30">
        <f t="shared" si="1"/>
        <v>0</v>
      </c>
      <c r="R19" s="76">
        <v>270410142.85714287</v>
      </c>
      <c r="S19" s="48">
        <v>171761000</v>
      </c>
      <c r="T19" s="48">
        <f t="shared" si="2"/>
        <v>98649142.857142866</v>
      </c>
    </row>
    <row r="20" spans="1:20" ht="15.75" customHeight="1">
      <c r="A20" s="18">
        <v>13</v>
      </c>
      <c r="B20" s="69" t="s">
        <v>99</v>
      </c>
      <c r="C20" s="25" t="s">
        <v>31</v>
      </c>
      <c r="D20" s="23" t="s">
        <v>98</v>
      </c>
      <c r="E20" s="25" t="s">
        <v>62</v>
      </c>
      <c r="F20" s="25" t="s">
        <v>63</v>
      </c>
      <c r="G20" s="26">
        <v>42347</v>
      </c>
      <c r="H20" s="33" t="s">
        <v>0</v>
      </c>
      <c r="I20" s="36">
        <v>142662309</v>
      </c>
      <c r="J20" s="30">
        <v>91629357</v>
      </c>
      <c r="K20" s="30">
        <v>38873159</v>
      </c>
      <c r="L20" s="30">
        <v>12159793</v>
      </c>
      <c r="M20" s="71">
        <f t="shared" si="0"/>
        <v>0</v>
      </c>
      <c r="N20" s="36">
        <f>190797789-18495478</f>
        <v>172302311</v>
      </c>
      <c r="O20" s="30">
        <v>85559995</v>
      </c>
      <c r="P20" s="73">
        <f>100959795-18495478-1403349</f>
        <v>81060968</v>
      </c>
      <c r="Q20" s="30">
        <v>4956773</v>
      </c>
      <c r="R20" s="76">
        <v>188766069</v>
      </c>
      <c r="S20" s="48">
        <v>136372795</v>
      </c>
      <c r="T20" s="48">
        <v>48134954</v>
      </c>
    </row>
    <row r="21" spans="1:20" ht="15" customHeight="1">
      <c r="A21" s="18">
        <v>14</v>
      </c>
      <c r="B21" s="19" t="s">
        <v>43</v>
      </c>
      <c r="C21" s="2" t="s">
        <v>31</v>
      </c>
      <c r="D21" s="2" t="s">
        <v>11</v>
      </c>
      <c r="E21" s="2" t="s">
        <v>62</v>
      </c>
      <c r="F21" s="2" t="s">
        <v>63</v>
      </c>
      <c r="G21" s="16">
        <v>42191</v>
      </c>
      <c r="H21" s="34" t="s">
        <v>0</v>
      </c>
      <c r="I21" s="36">
        <v>351984828</v>
      </c>
      <c r="J21" s="30">
        <v>215716986</v>
      </c>
      <c r="K21" s="30">
        <v>136267842</v>
      </c>
      <c r="L21" s="30">
        <v>0</v>
      </c>
      <c r="M21" s="71">
        <f t="shared" si="0"/>
        <v>0</v>
      </c>
      <c r="N21" s="36">
        <f>357000000-37454100-4</f>
        <v>319545896</v>
      </c>
      <c r="O21" s="30">
        <v>238665082</v>
      </c>
      <c r="P21" s="73">
        <f>6563138+62875020+5230925+23069692+4032554+16400747-35932378-1358884</f>
        <v>80880814</v>
      </c>
      <c r="Q21" s="30">
        <f t="shared" si="1"/>
        <v>0</v>
      </c>
      <c r="R21" s="76">
        <v>356866563</v>
      </c>
      <c r="S21" s="48">
        <f>161136819+54836212</f>
        <v>215973031</v>
      </c>
      <c r="T21" s="48">
        <f t="shared" si="2"/>
        <v>140893532</v>
      </c>
    </row>
    <row r="22" spans="1:20" ht="15" customHeight="1">
      <c r="A22" s="18">
        <v>15</v>
      </c>
      <c r="B22" s="19" t="s">
        <v>46</v>
      </c>
      <c r="C22" s="25" t="s">
        <v>32</v>
      </c>
      <c r="D22" s="23" t="s">
        <v>131</v>
      </c>
      <c r="E22" s="25" t="s">
        <v>62</v>
      </c>
      <c r="F22" s="25" t="s">
        <v>63</v>
      </c>
      <c r="G22" s="26">
        <v>42760</v>
      </c>
      <c r="H22" s="33" t="s">
        <v>0</v>
      </c>
      <c r="I22" s="36">
        <v>328868879.80000001</v>
      </c>
      <c r="J22" s="30">
        <v>0</v>
      </c>
      <c r="K22" s="30">
        <v>0</v>
      </c>
      <c r="L22" s="54">
        <f>29000000+268579368+4431575+2674966+3758950+6536029</f>
        <v>314980888</v>
      </c>
      <c r="M22" s="71">
        <f t="shared" si="0"/>
        <v>13887991.800000012</v>
      </c>
      <c r="N22" s="36">
        <v>298031479</v>
      </c>
      <c r="O22" s="30">
        <v>0</v>
      </c>
      <c r="P22" s="73">
        <v>267664981</v>
      </c>
      <c r="Q22" s="30">
        <v>23674874</v>
      </c>
      <c r="R22" s="76">
        <v>0</v>
      </c>
      <c r="S22" s="48">
        <v>0</v>
      </c>
      <c r="T22" s="48">
        <f t="shared" si="2"/>
        <v>0</v>
      </c>
    </row>
    <row r="23" spans="1:20" ht="15.75" customHeight="1">
      <c r="A23" s="18">
        <v>16</v>
      </c>
      <c r="B23" s="19" t="s">
        <v>111</v>
      </c>
      <c r="C23" s="25" t="s">
        <v>32</v>
      </c>
      <c r="D23" s="2" t="s">
        <v>106</v>
      </c>
      <c r="E23" s="25" t="s">
        <v>62</v>
      </c>
      <c r="F23" s="25" t="s">
        <v>63</v>
      </c>
      <c r="G23" s="26">
        <v>42684</v>
      </c>
      <c r="H23" s="33" t="s">
        <v>0</v>
      </c>
      <c r="I23" s="36">
        <f>313192352-7475605</f>
        <v>305716747</v>
      </c>
      <c r="J23" s="30">
        <v>0</v>
      </c>
      <c r="K23" s="30">
        <v>155451069.08179998</v>
      </c>
      <c r="L23" s="30">
        <f>6000000+42101516+3244473+1082474+45331717+1930012+83419+3493403+28529745+8617300</f>
        <v>140414059</v>
      </c>
      <c r="M23" s="71">
        <f t="shared" si="0"/>
        <v>9851618.918200016</v>
      </c>
      <c r="N23" s="47">
        <v>282398189</v>
      </c>
      <c r="O23" s="30">
        <v>0</v>
      </c>
      <c r="P23" s="72">
        <f>125612716+5402022</f>
        <v>131014738</v>
      </c>
      <c r="Q23" s="30">
        <v>145102816</v>
      </c>
      <c r="R23" s="76">
        <v>0</v>
      </c>
      <c r="S23" s="48">
        <v>0</v>
      </c>
      <c r="T23" s="48">
        <f t="shared" si="2"/>
        <v>0</v>
      </c>
    </row>
    <row r="24" spans="1:20" ht="15.75" customHeight="1">
      <c r="A24" s="18">
        <v>17</v>
      </c>
      <c r="B24" s="69" t="s">
        <v>88</v>
      </c>
      <c r="C24" s="2" t="s">
        <v>32</v>
      </c>
      <c r="D24" s="23" t="s">
        <v>89</v>
      </c>
      <c r="E24" s="2" t="s">
        <v>62</v>
      </c>
      <c r="F24" s="2" t="s">
        <v>63</v>
      </c>
      <c r="G24" s="24">
        <v>42300</v>
      </c>
      <c r="H24" s="33" t="s">
        <v>0</v>
      </c>
      <c r="I24" s="36">
        <v>311213800</v>
      </c>
      <c r="J24" s="30">
        <v>166541130</v>
      </c>
      <c r="K24" s="30">
        <v>135201376</v>
      </c>
      <c r="L24" s="30">
        <v>9471294</v>
      </c>
      <c r="M24" s="71">
        <f t="shared" si="0"/>
        <v>0</v>
      </c>
      <c r="N24" s="36">
        <f>292234580-9683241</f>
        <v>282551339</v>
      </c>
      <c r="O24" s="30">
        <v>132833900</v>
      </c>
      <c r="P24" s="73">
        <f>43707758+56437275+3594658+4746431+16363931+5279213</f>
        <v>130129266</v>
      </c>
      <c r="Q24" s="30">
        <v>12946478</v>
      </c>
      <c r="R24" s="76">
        <v>292234580</v>
      </c>
      <c r="S24" s="48">
        <f>132451537+841199</f>
        <v>133292736</v>
      </c>
      <c r="T24" s="48">
        <f t="shared" si="2"/>
        <v>158941844</v>
      </c>
    </row>
    <row r="25" spans="1:20" ht="15.75" customHeight="1">
      <c r="A25" s="18">
        <v>18</v>
      </c>
      <c r="B25" s="19" t="s">
        <v>91</v>
      </c>
      <c r="C25" s="25" t="s">
        <v>32</v>
      </c>
      <c r="D25" s="23" t="s">
        <v>90</v>
      </c>
      <c r="E25" s="25" t="s">
        <v>62</v>
      </c>
      <c r="F25" s="25" t="s">
        <v>63</v>
      </c>
      <c r="G25" s="26">
        <v>42332</v>
      </c>
      <c r="H25" s="33" t="s">
        <v>0</v>
      </c>
      <c r="I25" s="36">
        <v>304880168</v>
      </c>
      <c r="J25" s="30">
        <v>136393672</v>
      </c>
      <c r="K25" s="30">
        <v>158795265</v>
      </c>
      <c r="L25" s="30">
        <v>9691231</v>
      </c>
      <c r="M25" s="71">
        <f t="shared" si="0"/>
        <v>0</v>
      </c>
      <c r="N25" s="36">
        <f>293105201-724384</f>
        <v>292380817</v>
      </c>
      <c r="O25" s="30">
        <v>0</v>
      </c>
      <c r="P25" s="73">
        <f>286580083-724384-12915151</f>
        <v>272940548</v>
      </c>
      <c r="Q25" s="30">
        <v>12915151</v>
      </c>
      <c r="R25" s="76">
        <v>293105200</v>
      </c>
      <c r="S25" s="48">
        <f>130502364+5829328</f>
        <v>136331692</v>
      </c>
      <c r="T25" s="48">
        <v>150248391</v>
      </c>
    </row>
    <row r="26" spans="1:20" ht="15.75" customHeight="1">
      <c r="A26" s="18">
        <v>19</v>
      </c>
      <c r="B26" s="19" t="s">
        <v>45</v>
      </c>
      <c r="C26" s="25" t="s">
        <v>32</v>
      </c>
      <c r="D26" s="23" t="s">
        <v>117</v>
      </c>
      <c r="E26" s="25" t="s">
        <v>62</v>
      </c>
      <c r="F26" s="25" t="s">
        <v>63</v>
      </c>
      <c r="G26" s="26">
        <v>42724</v>
      </c>
      <c r="H26" s="33" t="s">
        <v>0</v>
      </c>
      <c r="I26" s="36">
        <v>318780365.31599998</v>
      </c>
      <c r="J26" s="30">
        <v>0</v>
      </c>
      <c r="K26" s="30">
        <v>283635307.31599998</v>
      </c>
      <c r="L26" s="30">
        <f>9681527+1+4646368+3462081+6318179+715577</f>
        <v>24823733</v>
      </c>
      <c r="M26" s="71">
        <f t="shared" si="0"/>
        <v>10321325</v>
      </c>
      <c r="N26" s="47">
        <v>288598809</v>
      </c>
      <c r="O26" s="30">
        <v>0</v>
      </c>
      <c r="P26" s="72">
        <f>127317641+6110000</f>
        <v>133427641</v>
      </c>
      <c r="Q26" s="30">
        <v>148805216</v>
      </c>
      <c r="R26" s="76">
        <v>0</v>
      </c>
      <c r="S26" s="48">
        <v>0</v>
      </c>
      <c r="T26" s="48">
        <f t="shared" si="2"/>
        <v>0</v>
      </c>
    </row>
    <row r="27" spans="1:20" ht="15.75" customHeight="1">
      <c r="A27" s="18">
        <v>20</v>
      </c>
      <c r="B27" s="19" t="s">
        <v>45</v>
      </c>
      <c r="C27" s="25" t="s">
        <v>32</v>
      </c>
      <c r="D27" s="23" t="s">
        <v>118</v>
      </c>
      <c r="E27" s="25" t="s">
        <v>62</v>
      </c>
      <c r="F27" s="25" t="s">
        <v>63</v>
      </c>
      <c r="G27" s="26">
        <v>42724</v>
      </c>
      <c r="H27" s="33" t="s">
        <v>0</v>
      </c>
      <c r="I27" s="36">
        <v>311922952</v>
      </c>
      <c r="J27" s="30">
        <v>0</v>
      </c>
      <c r="K27" s="30">
        <v>277695121</v>
      </c>
      <c r="L27" s="30">
        <f>9358319+3947519+5385755+6734296</f>
        <v>25425889</v>
      </c>
      <c r="M27" s="71">
        <f t="shared" si="0"/>
        <v>8801942</v>
      </c>
      <c r="N27" s="47">
        <v>282922952</v>
      </c>
      <c r="O27" s="30">
        <v>0</v>
      </c>
      <c r="P27" s="72">
        <f>125783160+5689677</f>
        <v>131472837</v>
      </c>
      <c r="Q27" s="30">
        <v>145160957</v>
      </c>
      <c r="R27" s="76">
        <v>0</v>
      </c>
      <c r="S27" s="48">
        <v>0</v>
      </c>
      <c r="T27" s="48">
        <f t="shared" si="2"/>
        <v>0</v>
      </c>
    </row>
    <row r="28" spans="1:20" ht="15" customHeight="1">
      <c r="A28" s="18">
        <v>21</v>
      </c>
      <c r="B28" s="19" t="s">
        <v>44</v>
      </c>
      <c r="C28" s="2" t="s">
        <v>32</v>
      </c>
      <c r="D28" s="2" t="s">
        <v>33</v>
      </c>
      <c r="E28" s="2" t="s">
        <v>62</v>
      </c>
      <c r="F28" s="2" t="s">
        <v>63</v>
      </c>
      <c r="G28" s="16">
        <v>42223</v>
      </c>
      <c r="H28" s="33" t="s">
        <v>0</v>
      </c>
      <c r="I28" s="36">
        <v>257395861</v>
      </c>
      <c r="J28" s="30">
        <v>176424944</v>
      </c>
      <c r="K28" s="30">
        <v>80970917</v>
      </c>
      <c r="L28" s="30">
        <v>0</v>
      </c>
      <c r="M28" s="71">
        <f t="shared" si="0"/>
        <v>0</v>
      </c>
      <c r="N28" s="36">
        <f>276503682-2815862-23248629</f>
        <v>250439191</v>
      </c>
      <c r="O28" s="30">
        <v>179754142</v>
      </c>
      <c r="P28" s="73">
        <f>1464248+50580452+5499341+114340+1811239+3968778+40000+10022513-812283-2003579</f>
        <v>70685049</v>
      </c>
      <c r="Q28" s="30">
        <f t="shared" si="1"/>
        <v>0</v>
      </c>
      <c r="R28" s="76">
        <v>276503681.95984197</v>
      </c>
      <c r="S28" s="48">
        <v>175002343</v>
      </c>
      <c r="T28" s="48">
        <f t="shared" si="2"/>
        <v>101501338.95984197</v>
      </c>
    </row>
    <row r="29" spans="1:20" ht="15.75" customHeight="1">
      <c r="A29" s="18">
        <v>22</v>
      </c>
      <c r="B29" s="19" t="s">
        <v>112</v>
      </c>
      <c r="C29" s="25" t="s">
        <v>32</v>
      </c>
      <c r="D29" s="2" t="s">
        <v>107</v>
      </c>
      <c r="E29" s="25" t="s">
        <v>62</v>
      </c>
      <c r="F29" s="25" t="s">
        <v>63</v>
      </c>
      <c r="G29" s="26">
        <v>42677</v>
      </c>
      <c r="H29" s="33" t="s">
        <v>0</v>
      </c>
      <c r="I29" s="36">
        <v>328213873</v>
      </c>
      <c r="J29" s="30">
        <v>0</v>
      </c>
      <c r="K29" s="30">
        <v>0</v>
      </c>
      <c r="L29" s="30">
        <v>310509095</v>
      </c>
      <c r="M29" s="71">
        <v>14383726</v>
      </c>
      <c r="N29" s="47">
        <v>299228872</v>
      </c>
      <c r="O29" s="30">
        <v>0</v>
      </c>
      <c r="P29" s="72">
        <f>133285851+6000000</f>
        <v>139285851</v>
      </c>
      <c r="Q29" s="30">
        <v>153278729</v>
      </c>
      <c r="R29" s="76">
        <v>0</v>
      </c>
      <c r="S29" s="48">
        <v>0</v>
      </c>
      <c r="T29" s="48">
        <f t="shared" si="2"/>
        <v>0</v>
      </c>
    </row>
    <row r="30" spans="1:20" ht="15.75" customHeight="1">
      <c r="A30" s="18">
        <v>23</v>
      </c>
      <c r="B30" s="69" t="s">
        <v>133</v>
      </c>
      <c r="C30" s="25" t="s">
        <v>32</v>
      </c>
      <c r="D30" s="23" t="s">
        <v>132</v>
      </c>
      <c r="E30" s="25" t="s">
        <v>62</v>
      </c>
      <c r="F30" s="25" t="s">
        <v>63</v>
      </c>
      <c r="G30" s="26">
        <v>42760</v>
      </c>
      <c r="H30" s="33" t="s">
        <v>0</v>
      </c>
      <c r="I30" s="36">
        <v>325580000.32484305</v>
      </c>
      <c r="J30" s="30">
        <v>0</v>
      </c>
      <c r="K30" s="30">
        <v>0</v>
      </c>
      <c r="L30" s="63">
        <f>29000000+259564035+4431575+11031375+2923603+3729830-4431575+3839022</f>
        <v>310087865</v>
      </c>
      <c r="M30" s="71">
        <v>15463948</v>
      </c>
      <c r="N30" s="36">
        <v>296459216</v>
      </c>
      <c r="O30" s="30">
        <v>0</v>
      </c>
      <c r="P30" s="73">
        <v>78642136</v>
      </c>
      <c r="Q30" s="30">
        <v>108173446</v>
      </c>
      <c r="R30" s="76">
        <v>0</v>
      </c>
      <c r="S30" s="48">
        <v>0</v>
      </c>
      <c r="T30" s="48">
        <f t="shared" si="2"/>
        <v>0</v>
      </c>
    </row>
    <row r="31" spans="1:20" s="27" customFormat="1" ht="15.75" customHeight="1">
      <c r="A31" s="18">
        <v>24</v>
      </c>
      <c r="B31" s="69" t="s">
        <v>133</v>
      </c>
      <c r="C31" s="25" t="s">
        <v>32</v>
      </c>
      <c r="D31" s="23" t="s">
        <v>135</v>
      </c>
      <c r="E31" s="25" t="s">
        <v>62</v>
      </c>
      <c r="F31" s="25" t="s">
        <v>63</v>
      </c>
      <c r="G31" s="26">
        <v>42794</v>
      </c>
      <c r="H31" s="34" t="s">
        <v>0</v>
      </c>
      <c r="I31" s="36">
        <v>240619999.67927924</v>
      </c>
      <c r="J31" s="54">
        <v>0</v>
      </c>
      <c r="K31" s="54">
        <v>0</v>
      </c>
      <c r="L31" s="30">
        <f>25000000+188563636+8066648+2385678+2937110+71</f>
        <v>226953143</v>
      </c>
      <c r="M31" s="71">
        <v>13533576</v>
      </c>
      <c r="N31" s="36">
        <v>215487991</v>
      </c>
      <c r="O31" s="54">
        <v>0</v>
      </c>
      <c r="P31" s="74">
        <f>89386090+720758</f>
        <v>90106848</v>
      </c>
      <c r="Q31" s="30">
        <v>112440120</v>
      </c>
      <c r="R31" s="76">
        <v>0</v>
      </c>
      <c r="S31" s="48">
        <v>0</v>
      </c>
      <c r="T31" s="48">
        <f t="shared" si="2"/>
        <v>0</v>
      </c>
    </row>
    <row r="32" spans="1:20" ht="15.75" customHeight="1">
      <c r="A32" s="18">
        <v>25</v>
      </c>
      <c r="B32" s="69" t="s">
        <v>81</v>
      </c>
      <c r="C32" s="25" t="s">
        <v>32</v>
      </c>
      <c r="D32" s="23" t="s">
        <v>119</v>
      </c>
      <c r="E32" s="25" t="s">
        <v>62</v>
      </c>
      <c r="F32" s="25" t="s">
        <v>63</v>
      </c>
      <c r="G32" s="26">
        <v>42724</v>
      </c>
      <c r="H32" s="33" t="s">
        <v>0</v>
      </c>
      <c r="I32" s="36">
        <v>237044353</v>
      </c>
      <c r="J32" s="30">
        <v>0</v>
      </c>
      <c r="K32" s="30">
        <v>217758503</v>
      </c>
      <c r="L32" s="30">
        <f>1419975+2595828+2811788</f>
        <v>6827591</v>
      </c>
      <c r="M32" s="71">
        <f t="shared" si="0"/>
        <v>12458259</v>
      </c>
      <c r="N32" s="47">
        <v>215479781</v>
      </c>
      <c r="O32" s="30">
        <v>0</v>
      </c>
      <c r="P32" s="72">
        <v>137123497</v>
      </c>
      <c r="Q32" s="30">
        <v>73459016</v>
      </c>
      <c r="R32" s="76">
        <v>0</v>
      </c>
      <c r="S32" s="48">
        <v>0</v>
      </c>
      <c r="T32" s="48">
        <f t="shared" si="2"/>
        <v>0</v>
      </c>
    </row>
    <row r="33" spans="1:20" ht="15" customHeight="1">
      <c r="A33" s="18">
        <v>26</v>
      </c>
      <c r="B33" s="19" t="s">
        <v>45</v>
      </c>
      <c r="C33" s="2" t="s">
        <v>32</v>
      </c>
      <c r="D33" s="2" t="s">
        <v>34</v>
      </c>
      <c r="E33" s="2" t="s">
        <v>62</v>
      </c>
      <c r="F33" s="2" t="s">
        <v>63</v>
      </c>
      <c r="G33" s="16">
        <v>42223</v>
      </c>
      <c r="H33" s="35" t="s">
        <v>0</v>
      </c>
      <c r="I33" s="36">
        <v>324602673</v>
      </c>
      <c r="J33" s="30">
        <v>187322720</v>
      </c>
      <c r="K33" s="30">
        <v>137279953</v>
      </c>
      <c r="L33" s="30">
        <v>0</v>
      </c>
      <c r="M33" s="71">
        <f t="shared" si="0"/>
        <v>0</v>
      </c>
      <c r="N33" s="36">
        <f>286120608-803700-21109307</f>
        <v>264207601</v>
      </c>
      <c r="O33" s="30">
        <v>198023510</v>
      </c>
      <c r="P33" s="73">
        <f>5186714+49798693+3802749+12047377+3357034+13100831-14464697-6644610</f>
        <v>66184091</v>
      </c>
      <c r="Q33" s="30">
        <f t="shared" si="1"/>
        <v>0</v>
      </c>
      <c r="R33" s="76">
        <v>284529035.31200004</v>
      </c>
      <c r="S33" s="48">
        <f>175845750+7295873</f>
        <v>183141623</v>
      </c>
      <c r="T33" s="48">
        <f t="shared" si="2"/>
        <v>101387412.31200004</v>
      </c>
    </row>
    <row r="34" spans="1:20" ht="15" customHeight="1">
      <c r="A34" s="18">
        <v>27</v>
      </c>
      <c r="B34" s="19" t="s">
        <v>46</v>
      </c>
      <c r="C34" s="2" t="s">
        <v>32</v>
      </c>
      <c r="D34" s="2" t="s">
        <v>35</v>
      </c>
      <c r="E34" s="2" t="s">
        <v>62</v>
      </c>
      <c r="F34" s="2" t="s">
        <v>63</v>
      </c>
      <c r="G34" s="16">
        <v>42223</v>
      </c>
      <c r="H34" s="34" t="s">
        <v>0</v>
      </c>
      <c r="I34" s="36">
        <v>353540204</v>
      </c>
      <c r="J34" s="30">
        <v>216378075</v>
      </c>
      <c r="K34" s="30">
        <v>137162129</v>
      </c>
      <c r="L34" s="30">
        <v>0</v>
      </c>
      <c r="M34" s="71">
        <f t="shared" si="0"/>
        <v>0</v>
      </c>
      <c r="N34" s="36">
        <f>341651505-30819995-713563</f>
        <v>310117947</v>
      </c>
      <c r="O34" s="30">
        <v>211532953</v>
      </c>
      <c r="P34" s="73">
        <f>3423867+61983660+14899998+3038957+21798097+2744247+21516163-4981-30815014</f>
        <v>98584994</v>
      </c>
      <c r="Q34" s="30">
        <f t="shared" si="1"/>
        <v>0</v>
      </c>
      <c r="R34" s="76">
        <v>339642638.23999995</v>
      </c>
      <c r="S34" s="48">
        <f>213781679+3365384</f>
        <v>217147063</v>
      </c>
      <c r="T34" s="48">
        <f t="shared" si="2"/>
        <v>122495575.23999995</v>
      </c>
    </row>
    <row r="35" spans="1:20" ht="15.75" customHeight="1">
      <c r="A35" s="18">
        <v>28</v>
      </c>
      <c r="B35" s="19" t="s">
        <v>44</v>
      </c>
      <c r="C35" s="25" t="s">
        <v>32</v>
      </c>
      <c r="D35" s="23" t="s">
        <v>120</v>
      </c>
      <c r="E35" s="25" t="s">
        <v>62</v>
      </c>
      <c r="F35" s="25" t="s">
        <v>63</v>
      </c>
      <c r="G35" s="26">
        <v>42724</v>
      </c>
      <c r="H35" s="33" t="s">
        <v>0</v>
      </c>
      <c r="I35" s="36">
        <v>233856064.5608753</v>
      </c>
      <c r="J35" s="30">
        <v>0</v>
      </c>
      <c r="K35" s="30">
        <v>213414605.05534118</v>
      </c>
      <c r="L35" s="30">
        <f>1573400+2015806+2435643+5418417</f>
        <v>11443266</v>
      </c>
      <c r="M35" s="71">
        <v>8971594</v>
      </c>
      <c r="N35" s="47">
        <v>196499165</v>
      </c>
      <c r="O35" s="30">
        <v>0</v>
      </c>
      <c r="P35" s="72">
        <v>124064924</v>
      </c>
      <c r="Q35" s="30">
        <v>68003352</v>
      </c>
      <c r="R35" s="76">
        <v>0</v>
      </c>
      <c r="S35" s="48">
        <v>0</v>
      </c>
      <c r="T35" s="48">
        <f t="shared" si="2"/>
        <v>0</v>
      </c>
    </row>
    <row r="36" spans="1:20" ht="15" customHeight="1">
      <c r="A36" s="18">
        <v>29</v>
      </c>
      <c r="B36" s="70" t="s">
        <v>48</v>
      </c>
      <c r="C36" s="25" t="s">
        <v>36</v>
      </c>
      <c r="D36" s="23" t="s">
        <v>95</v>
      </c>
      <c r="E36" s="25" t="s">
        <v>62</v>
      </c>
      <c r="F36" s="25" t="s">
        <v>63</v>
      </c>
      <c r="G36" s="26">
        <v>42332</v>
      </c>
      <c r="H36" s="33" t="s">
        <v>0</v>
      </c>
      <c r="I36" s="36">
        <v>295153708</v>
      </c>
      <c r="J36" s="30">
        <v>138861975</v>
      </c>
      <c r="K36" s="30">
        <v>143005496</v>
      </c>
      <c r="L36" s="30">
        <v>13286237</v>
      </c>
      <c r="M36" s="71">
        <f t="shared" si="0"/>
        <v>0</v>
      </c>
      <c r="N36" s="36">
        <f>295548101-19412707</f>
        <v>276135394</v>
      </c>
      <c r="O36" s="30">
        <v>129154978</v>
      </c>
      <c r="P36" s="73">
        <f>10782102+19588001+1659999+45850242+3885611+51716735+4223780</f>
        <v>137706470</v>
      </c>
      <c r="Q36" s="30">
        <f t="shared" si="1"/>
        <v>9273946</v>
      </c>
      <c r="R36" s="76">
        <v>287062698</v>
      </c>
      <c r="S36" s="48">
        <v>128210318</v>
      </c>
      <c r="T36" s="48">
        <v>152441865</v>
      </c>
    </row>
    <row r="37" spans="1:20" s="27" customFormat="1" ht="15.75" customHeight="1">
      <c r="A37" s="18">
        <v>30</v>
      </c>
      <c r="B37" s="69" t="s">
        <v>81</v>
      </c>
      <c r="C37" s="25" t="s">
        <v>36</v>
      </c>
      <c r="D37" s="23" t="s">
        <v>121</v>
      </c>
      <c r="E37" s="25" t="s">
        <v>62</v>
      </c>
      <c r="F37" s="25" t="s">
        <v>63</v>
      </c>
      <c r="G37" s="26">
        <v>42724</v>
      </c>
      <c r="H37" s="33" t="s">
        <v>0</v>
      </c>
      <c r="I37" s="36">
        <v>318249522.2513333</v>
      </c>
      <c r="J37" s="30">
        <v>0</v>
      </c>
      <c r="K37" s="30">
        <v>291951202.04666662</v>
      </c>
      <c r="L37" s="30">
        <f>3024761+4804146</f>
        <v>7828907</v>
      </c>
      <c r="M37" s="71">
        <f t="shared" si="0"/>
        <v>18469413.204666674</v>
      </c>
      <c r="N37" s="47">
        <v>288358998</v>
      </c>
      <c r="O37" s="30">
        <v>0</v>
      </c>
      <c r="P37" s="72">
        <v>183501181</v>
      </c>
      <c r="Q37" s="30">
        <v>98304204</v>
      </c>
      <c r="R37" s="76">
        <v>0</v>
      </c>
      <c r="S37" s="48">
        <v>0</v>
      </c>
      <c r="T37" s="48">
        <f t="shared" si="2"/>
        <v>0</v>
      </c>
    </row>
    <row r="38" spans="1:20" s="27" customFormat="1" ht="15" customHeight="1">
      <c r="A38" s="18">
        <v>31</v>
      </c>
      <c r="B38" s="70" t="s">
        <v>47</v>
      </c>
      <c r="C38" s="2" t="s">
        <v>36</v>
      </c>
      <c r="D38" s="2" t="s">
        <v>37</v>
      </c>
      <c r="E38" s="2" t="s">
        <v>62</v>
      </c>
      <c r="F38" s="2" t="s">
        <v>63</v>
      </c>
      <c r="G38" s="16">
        <v>42223</v>
      </c>
      <c r="H38" s="34" t="s">
        <v>0</v>
      </c>
      <c r="I38" s="36">
        <v>307004814</v>
      </c>
      <c r="J38" s="30">
        <v>189119963</v>
      </c>
      <c r="K38" s="30">
        <v>117884851</v>
      </c>
      <c r="L38" s="30">
        <v>0</v>
      </c>
      <c r="M38" s="71">
        <f t="shared" si="0"/>
        <v>0</v>
      </c>
      <c r="N38" s="36">
        <f>259486015-12500586</f>
        <v>246985429</v>
      </c>
      <c r="O38" s="30">
        <v>171630726</v>
      </c>
      <c r="P38" s="73">
        <f>4297194+67598021+8577192+347906+5804839+1230137-12500586</f>
        <v>75354703</v>
      </c>
      <c r="Q38" s="30">
        <f t="shared" si="1"/>
        <v>0</v>
      </c>
      <c r="R38" s="76">
        <v>265103532.09999999</v>
      </c>
      <c r="S38" s="48">
        <f>117018411+7218356</f>
        <v>124236767</v>
      </c>
      <c r="T38" s="48">
        <f t="shared" si="2"/>
        <v>140866765.09999999</v>
      </c>
    </row>
    <row r="39" spans="1:20" s="27" customFormat="1">
      <c r="A39" s="18">
        <v>32</v>
      </c>
      <c r="B39" s="69" t="s">
        <v>74</v>
      </c>
      <c r="C39" s="2" t="s">
        <v>38</v>
      </c>
      <c r="D39" s="2" t="s">
        <v>70</v>
      </c>
      <c r="E39" s="2" t="s">
        <v>62</v>
      </c>
      <c r="F39" s="2" t="s">
        <v>63</v>
      </c>
      <c r="G39" s="16">
        <v>42261</v>
      </c>
      <c r="H39" s="33" t="s">
        <v>0</v>
      </c>
      <c r="I39" s="36" t="s">
        <v>104</v>
      </c>
      <c r="J39" s="30" t="s">
        <v>104</v>
      </c>
      <c r="K39" s="30" t="s">
        <v>104</v>
      </c>
      <c r="L39" s="30" t="s">
        <v>104</v>
      </c>
      <c r="M39" s="30" t="s">
        <v>104</v>
      </c>
      <c r="N39" s="36" t="s">
        <v>104</v>
      </c>
      <c r="O39" s="30" t="s">
        <v>104</v>
      </c>
      <c r="P39" s="73" t="s">
        <v>104</v>
      </c>
      <c r="Q39" s="30" t="s">
        <v>104</v>
      </c>
      <c r="R39" s="77" t="s">
        <v>104</v>
      </c>
      <c r="S39" s="30" t="s">
        <v>104</v>
      </c>
      <c r="T39" s="30" t="s">
        <v>104</v>
      </c>
    </row>
    <row r="40" spans="1:20" s="27" customFormat="1" ht="15" customHeight="1">
      <c r="A40" s="18">
        <v>33</v>
      </c>
      <c r="B40" s="69" t="s">
        <v>81</v>
      </c>
      <c r="C40" s="25" t="s">
        <v>38</v>
      </c>
      <c r="D40" s="23" t="s">
        <v>94</v>
      </c>
      <c r="E40" s="25" t="s">
        <v>62</v>
      </c>
      <c r="F40" s="25" t="s">
        <v>63</v>
      </c>
      <c r="G40" s="26">
        <v>42332</v>
      </c>
      <c r="H40" s="33" t="s">
        <v>0</v>
      </c>
      <c r="I40" s="36">
        <v>210852881</v>
      </c>
      <c r="J40" s="30">
        <v>107396510</v>
      </c>
      <c r="K40" s="30">
        <v>91634198</v>
      </c>
      <c r="L40" s="30">
        <v>11822173</v>
      </c>
      <c r="M40" s="71">
        <f t="shared" si="0"/>
        <v>0</v>
      </c>
      <c r="N40" s="36">
        <v>222308437</v>
      </c>
      <c r="O40" s="30">
        <v>101049290</v>
      </c>
      <c r="P40" s="73">
        <f>26848391+2570788+13365587+1600991+59555311+7067635</f>
        <v>111008703</v>
      </c>
      <c r="Q40" s="30">
        <v>8970444</v>
      </c>
      <c r="R40" s="77">
        <v>222308437</v>
      </c>
      <c r="S40" s="30">
        <v>141469005</v>
      </c>
      <c r="T40" s="48">
        <v>75786968</v>
      </c>
    </row>
    <row r="41" spans="1:20" s="27" customFormat="1" ht="15.75" customHeight="1">
      <c r="A41" s="18">
        <v>34</v>
      </c>
      <c r="B41" s="69" t="s">
        <v>113</v>
      </c>
      <c r="C41" s="2" t="s">
        <v>38</v>
      </c>
      <c r="D41" s="2" t="s">
        <v>108</v>
      </c>
      <c r="E41" s="25" t="s">
        <v>62</v>
      </c>
      <c r="F41" s="25" t="s">
        <v>63</v>
      </c>
      <c r="G41" s="26">
        <v>42677</v>
      </c>
      <c r="H41" s="33" t="s">
        <v>0</v>
      </c>
      <c r="I41" s="36">
        <v>200599798</v>
      </c>
      <c r="J41" s="30">
        <v>0</v>
      </c>
      <c r="K41" s="30">
        <v>116242727.25</v>
      </c>
      <c r="L41" s="30">
        <f>9443328+761114+999568+42205782+3687546+9443056+14608618+3208059</f>
        <v>84357071</v>
      </c>
      <c r="M41" s="71">
        <v>0</v>
      </c>
      <c r="N41" s="36">
        <v>203766999</v>
      </c>
      <c r="O41" s="30">
        <v>0</v>
      </c>
      <c r="P41" s="73">
        <v>92168667</v>
      </c>
      <c r="Q41" s="30">
        <v>106989900</v>
      </c>
      <c r="R41" s="77">
        <v>0</v>
      </c>
      <c r="S41" s="30">
        <v>0</v>
      </c>
      <c r="T41" s="48">
        <f t="shared" si="2"/>
        <v>0</v>
      </c>
    </row>
    <row r="42" spans="1:20" s="27" customFormat="1" ht="15" customHeight="1">
      <c r="A42" s="18">
        <v>35</v>
      </c>
      <c r="B42" s="70" t="s">
        <v>48</v>
      </c>
      <c r="C42" s="2" t="s">
        <v>38</v>
      </c>
      <c r="D42" s="2" t="s">
        <v>39</v>
      </c>
      <c r="E42" s="2" t="s">
        <v>62</v>
      </c>
      <c r="F42" s="2" t="s">
        <v>63</v>
      </c>
      <c r="G42" s="16">
        <v>42223</v>
      </c>
      <c r="H42" s="34" t="s">
        <v>0</v>
      </c>
      <c r="I42" s="36">
        <v>301545621</v>
      </c>
      <c r="J42" s="30">
        <v>180326578</v>
      </c>
      <c r="K42" s="30">
        <v>121219043</v>
      </c>
      <c r="L42" s="30">
        <v>0</v>
      </c>
      <c r="M42" s="71">
        <f t="shared" si="0"/>
        <v>0</v>
      </c>
      <c r="N42" s="36">
        <f>284354170-7027571-131440</f>
        <v>277195159</v>
      </c>
      <c r="O42" s="30">
        <v>134792341</v>
      </c>
      <c r="P42" s="73">
        <f>9426051+778969+98497833+8393127+10000000+1891429-3853306-5000000</f>
        <v>120134103</v>
      </c>
      <c r="Q42" s="30">
        <f t="shared" si="1"/>
        <v>22268715</v>
      </c>
      <c r="R42" s="76">
        <v>284354156.8263467</v>
      </c>
      <c r="S42" s="48">
        <f>124700862+4132942</f>
        <v>128833804</v>
      </c>
      <c r="T42" s="48">
        <f t="shared" si="2"/>
        <v>155520352.8263467</v>
      </c>
    </row>
    <row r="43" spans="1:20" s="27" customFormat="1" ht="15" customHeight="1">
      <c r="A43" s="18">
        <v>36</v>
      </c>
      <c r="B43" s="19" t="s">
        <v>59</v>
      </c>
      <c r="C43" s="2" t="s">
        <v>40</v>
      </c>
      <c r="D43" s="2" t="s">
        <v>54</v>
      </c>
      <c r="E43" s="2" t="s">
        <v>62</v>
      </c>
      <c r="F43" s="2" t="s">
        <v>63</v>
      </c>
      <c r="G43" s="16">
        <v>42191</v>
      </c>
      <c r="H43" s="33" t="s">
        <v>0</v>
      </c>
      <c r="I43" s="36">
        <v>161766873</v>
      </c>
      <c r="J43" s="30">
        <v>119566805</v>
      </c>
      <c r="K43" s="30">
        <v>42200068</v>
      </c>
      <c r="L43" s="30">
        <v>0</v>
      </c>
      <c r="M43" s="71">
        <f t="shared" si="0"/>
        <v>0</v>
      </c>
      <c r="N43" s="36">
        <f>179812205-7027517-1000131</f>
        <v>171784557</v>
      </c>
      <c r="O43" s="30">
        <v>109507376</v>
      </c>
      <c r="P43" s="73">
        <f>2179579+19494354+1544554+33674689+4694854-7027517</f>
        <v>54560513</v>
      </c>
      <c r="Q43" s="30">
        <f t="shared" si="1"/>
        <v>7716668</v>
      </c>
      <c r="R43" s="76">
        <v>178739910</v>
      </c>
      <c r="S43" s="48">
        <v>80609050.000000015</v>
      </c>
      <c r="T43" s="48">
        <f t="shared" si="2"/>
        <v>98130859.999999985</v>
      </c>
    </row>
    <row r="44" spans="1:20" s="27" customFormat="1" ht="15" customHeight="1">
      <c r="A44" s="18">
        <v>37</v>
      </c>
      <c r="B44" s="19" t="s">
        <v>44</v>
      </c>
      <c r="C44" s="2" t="s">
        <v>40</v>
      </c>
      <c r="D44" s="2" t="s">
        <v>41</v>
      </c>
      <c r="E44" s="2" t="s">
        <v>62</v>
      </c>
      <c r="F44" s="2" t="s">
        <v>63</v>
      </c>
      <c r="G44" s="16">
        <v>42191</v>
      </c>
      <c r="H44" s="33" t="s">
        <v>0</v>
      </c>
      <c r="I44" s="36">
        <v>237363476</v>
      </c>
      <c r="J44" s="30">
        <v>185660466</v>
      </c>
      <c r="K44" s="30">
        <v>51703010</v>
      </c>
      <c r="L44" s="30">
        <v>0</v>
      </c>
      <c r="M44" s="71">
        <f t="shared" si="0"/>
        <v>0</v>
      </c>
      <c r="N44" s="36">
        <f>253884997-26722586-529290-5000</f>
        <v>226628121</v>
      </c>
      <c r="O44" s="30">
        <v>160600641</v>
      </c>
      <c r="P44" s="73">
        <f>93284356-26722586-529290-5000</f>
        <v>66027480</v>
      </c>
      <c r="Q44" s="30">
        <f t="shared" si="1"/>
        <v>0</v>
      </c>
      <c r="R44" s="76">
        <v>251810112.80000001</v>
      </c>
      <c r="S44" s="48">
        <v>113777324.00000001</v>
      </c>
      <c r="T44" s="48">
        <f t="shared" si="2"/>
        <v>138032788.80000001</v>
      </c>
    </row>
    <row r="45" spans="1:20" s="27" customFormat="1" ht="15.75" customHeight="1">
      <c r="A45" s="18">
        <v>38</v>
      </c>
      <c r="B45" s="19" t="s">
        <v>114</v>
      </c>
      <c r="C45" s="2" t="s">
        <v>40</v>
      </c>
      <c r="D45" s="2" t="s">
        <v>109</v>
      </c>
      <c r="E45" s="25" t="s">
        <v>62</v>
      </c>
      <c r="F45" s="25" t="s">
        <v>63</v>
      </c>
      <c r="G45" s="26">
        <v>42684</v>
      </c>
      <c r="H45" s="33" t="s">
        <v>0</v>
      </c>
      <c r="I45" s="36">
        <v>401068191</v>
      </c>
      <c r="J45" s="30">
        <v>0</v>
      </c>
      <c r="K45" s="30">
        <v>193319319</v>
      </c>
      <c r="L45" s="30">
        <f>33797496+3098906+30917398+2402573+5514006+61094287+4735185</f>
        <v>141559851</v>
      </c>
      <c r="M45" s="71">
        <v>22188148</v>
      </c>
      <c r="N45" s="36">
        <v>369725722</v>
      </c>
      <c r="O45" s="30">
        <v>0</v>
      </c>
      <c r="P45" s="73">
        <v>165592861</v>
      </c>
      <c r="Q45" s="30">
        <v>195882861</v>
      </c>
      <c r="R45" s="77">
        <v>0</v>
      </c>
      <c r="S45" s="30">
        <v>0</v>
      </c>
      <c r="T45" s="48">
        <f t="shared" si="2"/>
        <v>0</v>
      </c>
    </row>
    <row r="46" spans="1:20" s="27" customFormat="1" ht="15.75" customHeight="1">
      <c r="A46" s="18">
        <v>39</v>
      </c>
      <c r="B46" s="69" t="s">
        <v>100</v>
      </c>
      <c r="C46" s="25" t="s">
        <v>40</v>
      </c>
      <c r="D46" s="23" t="s">
        <v>97</v>
      </c>
      <c r="E46" s="25" t="s">
        <v>62</v>
      </c>
      <c r="F46" s="25" t="s">
        <v>63</v>
      </c>
      <c r="G46" s="26">
        <v>42332</v>
      </c>
      <c r="H46" s="34" t="s">
        <v>0</v>
      </c>
      <c r="I46" s="36">
        <v>193219849</v>
      </c>
      <c r="J46" s="30">
        <v>106750981</v>
      </c>
      <c r="K46" s="30">
        <v>71223635</v>
      </c>
      <c r="L46" s="30">
        <v>15245233</v>
      </c>
      <c r="M46" s="71">
        <f t="shared" si="0"/>
        <v>0</v>
      </c>
      <c r="N46" s="36">
        <f>216000000-13309437</f>
        <v>202690563</v>
      </c>
      <c r="O46" s="30">
        <v>98812144</v>
      </c>
      <c r="P46" s="73">
        <f>1634229+90753+23844813+1324168+65333102</f>
        <v>92227065</v>
      </c>
      <c r="Q46" s="30">
        <f t="shared" si="1"/>
        <v>11651354</v>
      </c>
      <c r="R46" s="77">
        <v>216000000</v>
      </c>
      <c r="S46" s="30">
        <f>97409091</f>
        <v>97409091</v>
      </c>
      <c r="T46" s="48">
        <v>113720455</v>
      </c>
    </row>
    <row r="47" spans="1:20" s="27" customFormat="1" ht="15" customHeight="1">
      <c r="A47" s="18">
        <v>40</v>
      </c>
      <c r="B47" s="69" t="s">
        <v>75</v>
      </c>
      <c r="C47" s="2" t="s">
        <v>55</v>
      </c>
      <c r="D47" s="2" t="s">
        <v>71</v>
      </c>
      <c r="E47" s="2" t="s">
        <v>62</v>
      </c>
      <c r="F47" s="2" t="s">
        <v>63</v>
      </c>
      <c r="G47" s="16">
        <v>42223</v>
      </c>
      <c r="H47" s="33" t="s">
        <v>0</v>
      </c>
      <c r="I47" s="36">
        <v>175547762</v>
      </c>
      <c r="J47" s="30">
        <v>92163968</v>
      </c>
      <c r="K47" s="30">
        <v>83383794</v>
      </c>
      <c r="L47" s="30">
        <v>0</v>
      </c>
      <c r="M47" s="71">
        <f t="shared" si="0"/>
        <v>0</v>
      </c>
      <c r="N47" s="36">
        <f>192921916-2324552</f>
        <v>190597364</v>
      </c>
      <c r="O47" s="30">
        <v>114676013</v>
      </c>
      <c r="P47" s="73">
        <f>78245903-2324552</f>
        <v>75921351</v>
      </c>
      <c r="Q47" s="30">
        <f t="shared" si="1"/>
        <v>0</v>
      </c>
      <c r="R47" s="76">
        <v>188136581.09999999</v>
      </c>
      <c r="S47" s="48">
        <f>84243901+971550</f>
        <v>85215451</v>
      </c>
      <c r="T47" s="48">
        <f>+R47-S47</f>
        <v>102921130.09999999</v>
      </c>
    </row>
    <row r="48" spans="1:20" s="27" customFormat="1" ht="15" customHeight="1">
      <c r="A48" s="18">
        <v>41</v>
      </c>
      <c r="B48" s="69" t="s">
        <v>60</v>
      </c>
      <c r="C48" s="2" t="s">
        <v>55</v>
      </c>
      <c r="D48" s="2" t="s">
        <v>56</v>
      </c>
      <c r="E48" s="2" t="s">
        <v>62</v>
      </c>
      <c r="F48" s="2" t="s">
        <v>63</v>
      </c>
      <c r="G48" s="16">
        <v>42223</v>
      </c>
      <c r="H48" s="33" t="s">
        <v>0</v>
      </c>
      <c r="I48" s="36">
        <v>277658546</v>
      </c>
      <c r="J48" s="30">
        <v>183668070</v>
      </c>
      <c r="K48" s="30">
        <v>93990476</v>
      </c>
      <c r="L48" s="30">
        <v>0</v>
      </c>
      <c r="M48" s="71">
        <f t="shared" si="0"/>
        <v>0</v>
      </c>
      <c r="N48" s="36">
        <f>291941488-85300-4417043-208480</f>
        <v>287230665</v>
      </c>
      <c r="O48" s="30">
        <v>180578292</v>
      </c>
      <c r="P48" s="73">
        <f>111363196-85300-4417043-208480</f>
        <v>106652373</v>
      </c>
      <c r="Q48" s="30">
        <f t="shared" si="1"/>
        <v>0</v>
      </c>
      <c r="R48" s="76">
        <v>286376549.95600003</v>
      </c>
      <c r="S48" s="48">
        <f>128580250+40914143+1978813</f>
        <v>171473206</v>
      </c>
      <c r="T48" s="48">
        <f t="shared" si="2"/>
        <v>114903343.95600003</v>
      </c>
    </row>
    <row r="49" spans="1:20" s="27" customFormat="1" ht="15.75" customHeight="1">
      <c r="A49" s="18">
        <v>42</v>
      </c>
      <c r="B49" s="69" t="s">
        <v>60</v>
      </c>
      <c r="C49" s="2" t="s">
        <v>55</v>
      </c>
      <c r="D49" s="2" t="s">
        <v>110</v>
      </c>
      <c r="E49" s="25" t="s">
        <v>62</v>
      </c>
      <c r="F49" s="25" t="s">
        <v>63</v>
      </c>
      <c r="G49" s="26">
        <v>42677</v>
      </c>
      <c r="H49" s="33" t="s">
        <v>0</v>
      </c>
      <c r="I49" s="36">
        <v>240939004.09999999</v>
      </c>
      <c r="J49" s="30">
        <v>0</v>
      </c>
      <c r="K49" s="30">
        <v>122634335.5</v>
      </c>
      <c r="L49" s="30">
        <f>6651893+52542701+4918140+456399+15968277+3639397+152133</f>
        <v>84328940</v>
      </c>
      <c r="M49" s="71">
        <v>10973130</v>
      </c>
      <c r="N49" s="36">
        <v>215941900</v>
      </c>
      <c r="O49" s="30">
        <v>0</v>
      </c>
      <c r="P49" s="73">
        <f>97214500+1524837</f>
        <v>98739337</v>
      </c>
      <c r="Q49" s="30">
        <v>112341838</v>
      </c>
      <c r="R49" s="77">
        <v>0</v>
      </c>
      <c r="S49" s="30">
        <v>0</v>
      </c>
      <c r="T49" s="48">
        <f t="shared" si="2"/>
        <v>0</v>
      </c>
    </row>
    <row r="50" spans="1:20" s="27" customFormat="1" ht="15" customHeight="1">
      <c r="A50" s="18">
        <v>43</v>
      </c>
      <c r="B50" s="69" t="s">
        <v>76</v>
      </c>
      <c r="C50" s="2" t="s">
        <v>84</v>
      </c>
      <c r="D50" s="2" t="s">
        <v>72</v>
      </c>
      <c r="E50" s="2" t="s">
        <v>62</v>
      </c>
      <c r="F50" s="2" t="s">
        <v>63</v>
      </c>
      <c r="G50" s="16">
        <v>42241</v>
      </c>
      <c r="H50" s="33" t="s">
        <v>0</v>
      </c>
      <c r="I50" s="36">
        <v>193177468</v>
      </c>
      <c r="J50" s="30">
        <v>131327157</v>
      </c>
      <c r="K50" s="30">
        <v>61850311</v>
      </c>
      <c r="L50" s="30">
        <v>0</v>
      </c>
      <c r="M50" s="71">
        <f t="shared" si="0"/>
        <v>0</v>
      </c>
      <c r="N50" s="36">
        <f>205819550-1280000-195296-4000</f>
        <v>204340254</v>
      </c>
      <c r="O50" s="30">
        <v>132931786</v>
      </c>
      <c r="P50" s="73">
        <f>72887764-1280000-195296-4000</f>
        <v>71408468</v>
      </c>
      <c r="Q50" s="30">
        <f t="shared" si="1"/>
        <v>0</v>
      </c>
      <c r="R50" s="77">
        <v>205819550</v>
      </c>
      <c r="S50" s="30">
        <v>130657896</v>
      </c>
      <c r="T50" s="48">
        <f t="shared" si="2"/>
        <v>75161654</v>
      </c>
    </row>
    <row r="51" spans="1:20" s="27" customFormat="1" ht="15" customHeight="1">
      <c r="A51" s="18">
        <v>44</v>
      </c>
      <c r="B51" s="69" t="s">
        <v>76</v>
      </c>
      <c r="C51" s="23" t="s">
        <v>84</v>
      </c>
      <c r="D51" s="23" t="s">
        <v>73</v>
      </c>
      <c r="E51" s="2" t="s">
        <v>62</v>
      </c>
      <c r="F51" s="2" t="s">
        <v>63</v>
      </c>
      <c r="G51" s="16">
        <v>42241</v>
      </c>
      <c r="H51" s="33" t="s">
        <v>0</v>
      </c>
      <c r="I51" s="36">
        <v>279565686</v>
      </c>
      <c r="J51" s="30">
        <v>182463705</v>
      </c>
      <c r="K51" s="30">
        <v>97101981</v>
      </c>
      <c r="L51" s="30">
        <v>0</v>
      </c>
      <c r="M51" s="71">
        <f t="shared" si="0"/>
        <v>0</v>
      </c>
      <c r="N51" s="36">
        <f>297716364-21816844-1315704-166265</f>
        <v>274417551</v>
      </c>
      <c r="O51" s="30">
        <v>190442762</v>
      </c>
      <c r="P51" s="73">
        <f>107273602-21816844-1315704-47722-118543</f>
        <v>83974789</v>
      </c>
      <c r="Q51" s="30">
        <f t="shared" si="1"/>
        <v>0</v>
      </c>
      <c r="R51" s="77">
        <v>298231708</v>
      </c>
      <c r="S51" s="30">
        <v>189458976</v>
      </c>
      <c r="T51" s="48">
        <f t="shared" si="2"/>
        <v>108772732</v>
      </c>
    </row>
    <row r="52" spans="1:20" s="27" customFormat="1" ht="15.75" customHeight="1">
      <c r="A52" s="18">
        <v>45</v>
      </c>
      <c r="B52" s="19" t="s">
        <v>137</v>
      </c>
      <c r="C52" s="79" t="s">
        <v>85</v>
      </c>
      <c r="D52" s="23" t="s">
        <v>136</v>
      </c>
      <c r="E52" s="25" t="s">
        <v>62</v>
      </c>
      <c r="F52" s="25" t="s">
        <v>63</v>
      </c>
      <c r="G52" s="26">
        <v>42794</v>
      </c>
      <c r="H52" s="34" t="s">
        <v>0</v>
      </c>
      <c r="I52" s="36">
        <v>328971318</v>
      </c>
      <c r="J52" s="54">
        <v>0</v>
      </c>
      <c r="K52" s="54">
        <v>0</v>
      </c>
      <c r="L52" s="54">
        <f>265321600+29000000+7835434+637562</f>
        <v>302794596</v>
      </c>
      <c r="M52" s="71">
        <v>25894598</v>
      </c>
      <c r="N52" s="36">
        <v>299962160</v>
      </c>
      <c r="O52" s="54">
        <v>0</v>
      </c>
      <c r="P52" s="74">
        <v>0</v>
      </c>
      <c r="Q52" s="30">
        <v>293056154</v>
      </c>
      <c r="R52" s="77">
        <v>0</v>
      </c>
      <c r="S52" s="30">
        <v>0</v>
      </c>
      <c r="T52" s="48">
        <f t="shared" si="2"/>
        <v>0</v>
      </c>
    </row>
    <row r="53" spans="1:20" s="27" customFormat="1" ht="15.75" customHeight="1">
      <c r="A53" s="18">
        <v>46</v>
      </c>
      <c r="B53" s="19" t="s">
        <v>44</v>
      </c>
      <c r="C53" s="80" t="s">
        <v>85</v>
      </c>
      <c r="D53" s="80" t="s">
        <v>87</v>
      </c>
      <c r="E53" s="2" t="s">
        <v>62</v>
      </c>
      <c r="F53" s="2" t="s">
        <v>63</v>
      </c>
      <c r="G53" s="22">
        <v>42261</v>
      </c>
      <c r="H53" s="33" t="s">
        <v>0</v>
      </c>
      <c r="I53" s="36">
        <v>214693790</v>
      </c>
      <c r="J53" s="30">
        <v>122543278</v>
      </c>
      <c r="K53" s="30">
        <v>92150512</v>
      </c>
      <c r="L53" s="30">
        <v>0</v>
      </c>
      <c r="M53" s="71">
        <f t="shared" si="0"/>
        <v>0</v>
      </c>
      <c r="N53" s="36">
        <f>203419577-900000</f>
        <v>202519577</v>
      </c>
      <c r="O53" s="30">
        <v>92054353</v>
      </c>
      <c r="P53" s="73">
        <f>31430980+34994380+4122344+25628993+2753854+3222985</f>
        <v>102153536</v>
      </c>
      <c r="Q53" s="30">
        <f t="shared" si="1"/>
        <v>8311688</v>
      </c>
      <c r="R53" s="77">
        <v>203209835</v>
      </c>
      <c r="S53" s="30">
        <v>92027198</v>
      </c>
      <c r="T53" s="48">
        <f t="shared" si="2"/>
        <v>111182637</v>
      </c>
    </row>
    <row r="54" spans="1:20" s="27" customFormat="1" ht="15" customHeight="1">
      <c r="A54" s="18">
        <v>47</v>
      </c>
      <c r="B54" s="69" t="s">
        <v>76</v>
      </c>
      <c r="C54" s="2" t="s">
        <v>85</v>
      </c>
      <c r="D54" s="2" t="s">
        <v>77</v>
      </c>
      <c r="E54" s="2" t="s">
        <v>62</v>
      </c>
      <c r="F54" s="2" t="s">
        <v>63</v>
      </c>
      <c r="G54" s="16">
        <v>42254</v>
      </c>
      <c r="H54" s="33" t="s">
        <v>0</v>
      </c>
      <c r="I54" s="36">
        <v>272642219</v>
      </c>
      <c r="J54" s="30">
        <v>178246237</v>
      </c>
      <c r="K54" s="30">
        <v>94395982</v>
      </c>
      <c r="L54" s="30">
        <v>0</v>
      </c>
      <c r="M54" s="71">
        <f t="shared" si="0"/>
        <v>0</v>
      </c>
      <c r="N54" s="36">
        <f>296187758-2961878</f>
        <v>293225880</v>
      </c>
      <c r="O54" s="30">
        <v>134402201</v>
      </c>
      <c r="P54" s="73">
        <f>46375465+34190110+1404506+3000849+34875817+108853+104853+104853+104853+3786193</f>
        <v>124056352</v>
      </c>
      <c r="Q54" s="30">
        <v>15727014</v>
      </c>
      <c r="R54" s="77">
        <v>265038524</v>
      </c>
      <c r="S54" s="30">
        <v>168215424</v>
      </c>
      <c r="T54" s="48">
        <f t="shared" si="2"/>
        <v>96823100</v>
      </c>
    </row>
    <row r="55" spans="1:20" s="27" customFormat="1" ht="15" customHeight="1">
      <c r="A55" s="18">
        <v>48</v>
      </c>
      <c r="B55" s="69" t="s">
        <v>81</v>
      </c>
      <c r="C55" s="2" t="s">
        <v>86</v>
      </c>
      <c r="D55" s="2" t="s">
        <v>78</v>
      </c>
      <c r="E55" s="2" t="s">
        <v>62</v>
      </c>
      <c r="F55" s="2" t="s">
        <v>63</v>
      </c>
      <c r="G55" s="16">
        <v>42191</v>
      </c>
      <c r="H55" s="33" t="s">
        <v>0</v>
      </c>
      <c r="I55" s="36">
        <v>184777897</v>
      </c>
      <c r="J55" s="30">
        <v>126579082</v>
      </c>
      <c r="K55" s="30">
        <v>53462888</v>
      </c>
      <c r="L55" s="30">
        <v>4735927</v>
      </c>
      <c r="M55" s="71">
        <f t="shared" si="0"/>
        <v>0</v>
      </c>
      <c r="N55" s="36">
        <v>206457456</v>
      </c>
      <c r="O55" s="30">
        <v>187688596</v>
      </c>
      <c r="P55" s="73">
        <f>2734086+2604166+4058209</f>
        <v>9396461</v>
      </c>
      <c r="Q55" s="30">
        <f t="shared" si="1"/>
        <v>9372399</v>
      </c>
      <c r="R55" s="76">
        <v>206457456.07885301</v>
      </c>
      <c r="S55" s="48">
        <v>131382018</v>
      </c>
      <c r="T55" s="48">
        <f t="shared" si="2"/>
        <v>75075438.078853011</v>
      </c>
    </row>
    <row r="56" spans="1:20" s="27" customFormat="1" ht="15" customHeight="1">
      <c r="A56" s="18">
        <v>49</v>
      </c>
      <c r="B56" s="69" t="s">
        <v>81</v>
      </c>
      <c r="C56" s="14" t="s">
        <v>86</v>
      </c>
      <c r="D56" s="14" t="s">
        <v>79</v>
      </c>
      <c r="E56" s="2" t="s">
        <v>62</v>
      </c>
      <c r="F56" s="2" t="s">
        <v>63</v>
      </c>
      <c r="G56" s="16">
        <v>42191</v>
      </c>
      <c r="H56" s="33" t="s">
        <v>0</v>
      </c>
      <c r="I56" s="36">
        <v>278631148</v>
      </c>
      <c r="J56" s="30">
        <v>171837394</v>
      </c>
      <c r="K56" s="30">
        <v>96386979</v>
      </c>
      <c r="L56" s="30">
        <v>10406775</v>
      </c>
      <c r="M56" s="71">
        <f t="shared" si="0"/>
        <v>0</v>
      </c>
      <c r="N56" s="36">
        <v>282343374</v>
      </c>
      <c r="O56" s="30">
        <v>256675795</v>
      </c>
      <c r="P56" s="73">
        <f>4175949+626552+5473922</f>
        <v>10276423</v>
      </c>
      <c r="Q56" s="30">
        <f t="shared" si="1"/>
        <v>15391156</v>
      </c>
      <c r="R56" s="76">
        <v>282343374.32828265</v>
      </c>
      <c r="S56" s="48">
        <v>179673056</v>
      </c>
      <c r="T56" s="48">
        <f t="shared" si="2"/>
        <v>102670318.32828265</v>
      </c>
    </row>
    <row r="57" spans="1:20" s="27" customFormat="1" ht="15" customHeight="1">
      <c r="A57" s="18">
        <v>50</v>
      </c>
      <c r="B57" s="69" t="s">
        <v>81</v>
      </c>
      <c r="C57" s="15" t="s">
        <v>57</v>
      </c>
      <c r="D57" s="15" t="s">
        <v>80</v>
      </c>
      <c r="E57" s="2" t="s">
        <v>62</v>
      </c>
      <c r="F57" s="2" t="s">
        <v>63</v>
      </c>
      <c r="G57" s="16">
        <v>42223</v>
      </c>
      <c r="H57" s="33" t="s">
        <v>0</v>
      </c>
      <c r="I57" s="37">
        <v>160382250</v>
      </c>
      <c r="J57" s="38">
        <v>119942780</v>
      </c>
      <c r="K57" s="38">
        <v>40439470</v>
      </c>
      <c r="L57" s="30">
        <v>0</v>
      </c>
      <c r="M57" s="71">
        <f t="shared" si="0"/>
        <v>0</v>
      </c>
      <c r="N57" s="36">
        <v>192594150</v>
      </c>
      <c r="O57" s="30">
        <v>175085591</v>
      </c>
      <c r="P57" s="73">
        <v>17508559</v>
      </c>
      <c r="Q57" s="30">
        <f t="shared" si="1"/>
        <v>0</v>
      </c>
      <c r="R57" s="76">
        <v>192440791.26800001</v>
      </c>
      <c r="S57" s="48">
        <v>122462322</v>
      </c>
      <c r="T57" s="48">
        <f t="shared" si="2"/>
        <v>69978469.268000007</v>
      </c>
    </row>
    <row r="58" spans="1:20" s="27" customFormat="1" ht="15" customHeight="1">
      <c r="A58" s="18">
        <v>51</v>
      </c>
      <c r="B58" s="69" t="s">
        <v>61</v>
      </c>
      <c r="C58" s="2" t="s">
        <v>57</v>
      </c>
      <c r="D58" s="2" t="s">
        <v>58</v>
      </c>
      <c r="E58" s="2" t="s">
        <v>62</v>
      </c>
      <c r="F58" s="2" t="s">
        <v>63</v>
      </c>
      <c r="G58" s="16">
        <v>42241</v>
      </c>
      <c r="H58" s="33" t="s">
        <v>0</v>
      </c>
      <c r="I58" s="37">
        <f>256454939-1000000</f>
        <v>255454939</v>
      </c>
      <c r="J58" s="38">
        <v>185174127</v>
      </c>
      <c r="K58" s="38">
        <v>70280812</v>
      </c>
      <c r="L58" s="30">
        <v>0</v>
      </c>
      <c r="M58" s="71">
        <f t="shared" si="0"/>
        <v>0</v>
      </c>
      <c r="N58" s="36">
        <f>277863023-5655272-26276687-131343</f>
        <v>245799721</v>
      </c>
      <c r="O58" s="30">
        <v>125028647</v>
      </c>
      <c r="P58" s="73">
        <f>152834376-5655272-26276687-131343</f>
        <v>120771074</v>
      </c>
      <c r="Q58" s="30">
        <f t="shared" si="1"/>
        <v>0</v>
      </c>
      <c r="R58" s="77">
        <v>266395328</v>
      </c>
      <c r="S58" s="30">
        <v>194684632</v>
      </c>
      <c r="T58" s="48">
        <f t="shared" si="2"/>
        <v>71710696</v>
      </c>
    </row>
    <row r="59" spans="1:20" s="27" customFormat="1" ht="15.75" customHeight="1">
      <c r="A59" s="42"/>
      <c r="B59" s="19" t="s">
        <v>124</v>
      </c>
      <c r="C59" s="26" t="s">
        <v>0</v>
      </c>
      <c r="D59" s="24" t="s">
        <v>0</v>
      </c>
      <c r="E59" s="26" t="s">
        <v>0</v>
      </c>
      <c r="F59" s="26" t="s">
        <v>0</v>
      </c>
      <c r="G59" s="26" t="s">
        <v>0</v>
      </c>
      <c r="H59" s="26" t="s">
        <v>0</v>
      </c>
      <c r="I59" s="37">
        <f>K59</f>
        <v>113228874</v>
      </c>
      <c r="J59" s="38">
        <v>0</v>
      </c>
      <c r="K59" s="38">
        <v>113228874</v>
      </c>
      <c r="L59" s="38">
        <v>0</v>
      </c>
      <c r="M59" s="71">
        <f t="shared" si="0"/>
        <v>0</v>
      </c>
      <c r="N59" s="36">
        <f>P59</f>
        <v>231390871</v>
      </c>
      <c r="O59" s="30">
        <v>0</v>
      </c>
      <c r="P59" s="75">
        <f>197987950+15000000+18402921</f>
        <v>231390871</v>
      </c>
      <c r="Q59" s="30">
        <f t="shared" si="1"/>
        <v>0</v>
      </c>
      <c r="R59" s="77">
        <v>0</v>
      </c>
      <c r="S59" s="30">
        <v>0</v>
      </c>
      <c r="T59" s="48">
        <f t="shared" si="2"/>
        <v>0</v>
      </c>
    </row>
    <row r="60" spans="1:20" ht="16.5" thickBot="1">
      <c r="B60" s="1"/>
      <c r="C60" s="11"/>
      <c r="D60" s="11"/>
      <c r="H60" s="28" t="s">
        <v>105</v>
      </c>
      <c r="I60" s="39">
        <f t="shared" ref="I60:S60" si="3">SUM(I5:I59)</f>
        <v>13857684247.515665</v>
      </c>
      <c r="J60" s="40">
        <f t="shared" si="3"/>
        <v>5120851000</v>
      </c>
      <c r="K60" s="40">
        <f t="shared" si="3"/>
        <v>5509020511.2498074</v>
      </c>
      <c r="L60" s="41">
        <f t="shared" si="3"/>
        <v>2829867049</v>
      </c>
      <c r="M60" s="41">
        <f>SUM(M5:M59)</f>
        <v>241733825.9228667</v>
      </c>
      <c r="N60" s="39">
        <f t="shared" si="3"/>
        <v>12571369782</v>
      </c>
      <c r="O60" s="44">
        <f t="shared" si="3"/>
        <v>4658708489</v>
      </c>
      <c r="P60" s="41">
        <f t="shared" si="3"/>
        <v>5109895103</v>
      </c>
      <c r="Q60" s="41">
        <f>SUM(Q5:Q59)</f>
        <v>2555957087</v>
      </c>
      <c r="R60" s="43">
        <f t="shared" si="3"/>
        <v>8032736220.127141</v>
      </c>
      <c r="S60" s="44">
        <f t="shared" si="3"/>
        <v>4506913848</v>
      </c>
      <c r="T60" s="44">
        <f>SUM(T5:T59)</f>
        <v>3488453438.5271411</v>
      </c>
    </row>
    <row r="61" spans="1:20">
      <c r="B61" s="1"/>
      <c r="C61" s="11"/>
      <c r="D61" s="11"/>
      <c r="I61" s="31"/>
      <c r="J61" s="20"/>
      <c r="K61" s="20"/>
      <c r="L61" s="20"/>
      <c r="M61" s="20"/>
      <c r="N61" s="31"/>
      <c r="O61" s="20"/>
      <c r="P61" s="20"/>
      <c r="Q61" s="20"/>
    </row>
    <row r="62" spans="1:20">
      <c r="B62" s="1"/>
      <c r="C62" s="11"/>
      <c r="D62" s="11"/>
      <c r="I62" s="31"/>
      <c r="J62" s="20"/>
      <c r="K62" s="20"/>
      <c r="L62" s="20"/>
      <c r="M62" s="20"/>
      <c r="N62" s="31"/>
      <c r="O62" s="20"/>
      <c r="P62" s="20"/>
      <c r="Q62" s="20"/>
      <c r="R62" s="65"/>
    </row>
    <row r="63" spans="1:20">
      <c r="B63" s="1"/>
      <c r="C63" s="11"/>
      <c r="D63" s="11"/>
      <c r="I63" s="31"/>
      <c r="J63" s="20"/>
      <c r="K63" s="20"/>
      <c r="L63" s="64"/>
      <c r="M63" s="64"/>
      <c r="N63" s="31"/>
      <c r="O63" s="20"/>
      <c r="P63" s="20"/>
      <c r="Q63" s="20"/>
      <c r="R63" s="68"/>
    </row>
    <row r="64" spans="1:20">
      <c r="B64" s="1"/>
      <c r="C64" s="11"/>
      <c r="D64" s="11"/>
      <c r="I64" s="66">
        <v>2015</v>
      </c>
      <c r="J64" s="67">
        <f>+J60</f>
        <v>5120851000</v>
      </c>
      <c r="K64" s="20"/>
      <c r="L64" s="20"/>
      <c r="M64" s="20"/>
      <c r="N64" s="31"/>
      <c r="O64" s="20"/>
      <c r="P64" s="20"/>
      <c r="Q64" s="20"/>
    </row>
    <row r="65" spans="2:17">
      <c r="B65" s="1"/>
      <c r="C65" s="11"/>
      <c r="D65" s="11"/>
      <c r="I65" s="66">
        <v>2016</v>
      </c>
      <c r="J65" s="67">
        <f>+K60+O60</f>
        <v>10167729000.249807</v>
      </c>
      <c r="K65" s="20"/>
      <c r="L65" s="20"/>
      <c r="M65" s="20"/>
      <c r="N65" s="31"/>
      <c r="O65" s="20"/>
      <c r="P65" s="20"/>
      <c r="Q65" s="20"/>
    </row>
    <row r="66" spans="2:17">
      <c r="D66" s="11"/>
      <c r="I66" s="66">
        <v>2017</v>
      </c>
      <c r="J66" s="67">
        <f>+L60+P60+S60</f>
        <v>12446676000</v>
      </c>
      <c r="K66" s="20"/>
      <c r="L66" s="20"/>
      <c r="M66" s="20"/>
      <c r="N66" s="31"/>
      <c r="O66" s="20"/>
      <c r="P66" s="20"/>
      <c r="Q66" s="20"/>
    </row>
    <row r="67" spans="2:17">
      <c r="D67" s="11"/>
      <c r="I67" s="66">
        <v>2018</v>
      </c>
      <c r="J67" s="67">
        <f>+M60+Q60+T60</f>
        <v>6286144351.4500084</v>
      </c>
      <c r="K67" s="20"/>
      <c r="L67" s="20"/>
      <c r="M67" s="20"/>
      <c r="N67" s="31"/>
      <c r="O67" s="20"/>
      <c r="P67" s="20"/>
      <c r="Q67" s="20"/>
    </row>
    <row r="68" spans="2:17">
      <c r="D68" s="11"/>
      <c r="I68" s="31"/>
      <c r="J68" s="20"/>
      <c r="K68" s="20"/>
      <c r="L68" s="20"/>
      <c r="M68" s="20"/>
      <c r="N68" s="31"/>
      <c r="O68" s="20"/>
      <c r="P68" s="20"/>
      <c r="Q68" s="20"/>
    </row>
    <row r="69" spans="2:17">
      <c r="D69" s="11"/>
      <c r="I69" s="31"/>
      <c r="J69" s="20"/>
      <c r="K69" s="20"/>
      <c r="L69" s="20"/>
      <c r="M69" s="20"/>
      <c r="N69" s="31"/>
      <c r="O69" s="20"/>
      <c r="P69" s="20"/>
      <c r="Q69" s="20"/>
    </row>
    <row r="70" spans="2:17">
      <c r="D70" s="11"/>
      <c r="I70" s="31"/>
      <c r="J70" s="20"/>
      <c r="K70" s="20"/>
      <c r="L70" s="20"/>
      <c r="M70" s="20"/>
      <c r="N70" s="31"/>
      <c r="O70" s="20"/>
      <c r="P70" s="20"/>
      <c r="Q70" s="20"/>
    </row>
    <row r="71" spans="2:17">
      <c r="D71" s="11"/>
      <c r="I71" s="31"/>
      <c r="J71" s="20"/>
      <c r="K71" s="20"/>
      <c r="L71" s="20"/>
      <c r="M71" s="20"/>
      <c r="N71" s="31"/>
      <c r="O71" s="20"/>
      <c r="P71" s="20"/>
      <c r="Q71" s="20"/>
    </row>
    <row r="72" spans="2:17">
      <c r="D72" s="11"/>
      <c r="I72" s="31"/>
      <c r="J72" s="20"/>
      <c r="K72" s="20"/>
      <c r="L72" s="20"/>
      <c r="M72" s="20"/>
      <c r="N72" s="31"/>
      <c r="O72" s="20"/>
      <c r="P72" s="20"/>
      <c r="Q72" s="20"/>
    </row>
    <row r="73" spans="2:17">
      <c r="D73" s="11"/>
      <c r="I73" s="31"/>
      <c r="J73" s="20"/>
      <c r="K73" s="20"/>
      <c r="L73" s="20"/>
      <c r="M73" s="20"/>
      <c r="N73" s="31"/>
      <c r="O73" s="20"/>
      <c r="P73" s="20"/>
      <c r="Q73" s="20"/>
    </row>
    <row r="74" spans="2:17">
      <c r="D74" s="11"/>
      <c r="I74" s="31"/>
      <c r="J74" s="20"/>
      <c r="K74" s="20"/>
      <c r="L74" s="20"/>
      <c r="M74" s="20"/>
      <c r="N74" s="31"/>
      <c r="O74" s="20"/>
      <c r="P74" s="20"/>
      <c r="Q74" s="20"/>
    </row>
    <row r="76" spans="2:17">
      <c r="D76" s="11"/>
      <c r="I76" s="31"/>
      <c r="J76" s="20"/>
      <c r="K76" s="20"/>
      <c r="L76" s="20"/>
      <c r="M76" s="20"/>
      <c r="N76" s="31"/>
      <c r="O76" s="20"/>
      <c r="P76" s="20"/>
      <c r="Q76" s="20"/>
    </row>
  </sheetData>
  <autoFilter ref="A4:T60"/>
  <sortState ref="B5:P53">
    <sortCondition ref="C5:C53"/>
    <sortCondition ref="D5:D53"/>
  </sortState>
  <mergeCells count="4">
    <mergeCell ref="A1:A4"/>
    <mergeCell ref="C1:T1"/>
    <mergeCell ref="C2:T2"/>
    <mergeCell ref="C3:T3"/>
  </mergeCells>
  <dataValidations count="1">
    <dataValidation allowBlank="1" showInputMessage="1" showErrorMessage="1" error="Seleccione solo un Centro" sqref="D6 D15 D22 D17:D20 D35"/>
  </dataValidations>
  <pageMargins left="0.7" right="0.7" top="0.75" bottom="0.75" header="0.3" footer="0.3"/>
  <pageSetup paperSize="9" scale="1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vt:lpstr>
      <vt:lpstr>Operadores Centros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Bravo Toro</dc:creator>
  <cp:lastModifiedBy>Carolina Garcia Ramirez</cp:lastModifiedBy>
  <cp:lastPrinted>2017-06-29T15:08:04Z</cp:lastPrinted>
  <dcterms:created xsi:type="dcterms:W3CDTF">2013-03-05T12:02:56Z</dcterms:created>
  <dcterms:modified xsi:type="dcterms:W3CDTF">2018-05-07T12:24:51Z</dcterms:modified>
</cp:coreProperties>
</file>